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3BF5FE9F-7666-4EAD-91FA-7A1D43794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йс 2.0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12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196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93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131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77" i="2"/>
  <c r="H224" i="2"/>
  <c r="G224" i="2"/>
  <c r="H223" i="2"/>
  <c r="G223" i="2"/>
  <c r="H222" i="2"/>
  <c r="G222" i="2"/>
  <c r="H221" i="2"/>
  <c r="G221" i="2"/>
  <c r="H220" i="2"/>
  <c r="G220" i="2"/>
  <c r="H219" i="2"/>
  <c r="G219" i="2"/>
  <c r="H218" i="2"/>
  <c r="G218" i="2"/>
  <c r="H217" i="2"/>
  <c r="G217" i="2"/>
  <c r="H216" i="2"/>
  <c r="G216" i="2"/>
  <c r="H215" i="2"/>
  <c r="G215" i="2"/>
  <c r="H214" i="2"/>
  <c r="G214" i="2"/>
  <c r="H213" i="2"/>
  <c r="G213" i="2"/>
  <c r="H212" i="2"/>
  <c r="G212" i="2"/>
  <c r="H211" i="2"/>
  <c r="G211" i="2"/>
  <c r="H210" i="2"/>
  <c r="G210" i="2"/>
  <c r="H209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H134" i="2"/>
  <c r="G134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G117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</calcChain>
</file>

<file path=xl/sharedStrings.xml><?xml version="1.0" encoding="utf-8"?>
<sst xmlns="http://schemas.openxmlformats.org/spreadsheetml/2006/main" count="412" uniqueCount="369">
  <si>
    <t>"УТВЕРЖДАЮ"</t>
  </si>
  <si>
    <t>Генеральный директор</t>
  </si>
  <si>
    <t>ООО ЛофтДент</t>
  </si>
  <si>
    <t>______ А.Ю.Бурмистрова</t>
  </si>
  <si>
    <t>Прейскурант на услуги, оказываемые в стоматологическом центре ООО ЛофтДент</t>
  </si>
  <si>
    <t>П/п</t>
  </si>
  <si>
    <t>Код услуги</t>
  </si>
  <si>
    <t>Наименование</t>
  </si>
  <si>
    <t>Стоимость, руб.</t>
  </si>
  <si>
    <t>ОБЩИЕ ВИДЫ РАБОТ</t>
  </si>
  <si>
    <t>В01.063.001</t>
  </si>
  <si>
    <t>Прием (осмотр, консультация) врача-стоматолога-ортодонта первичный</t>
  </si>
  <si>
    <t>В01.063.002</t>
  </si>
  <si>
    <t>Прием (осмотр, консультация) врача-стоматолога-ортодонта повторный</t>
  </si>
  <si>
    <t>В01.064.003</t>
  </si>
  <si>
    <t>Прием (осмотр, консультация) врача-стоматолога детского первичный</t>
  </si>
  <si>
    <t>В01.064.004</t>
  </si>
  <si>
    <t>Прием (осмотр, консультация) врача-стоматолога детского повторный</t>
  </si>
  <si>
    <t>В01.064:010</t>
  </si>
  <si>
    <t>Прием (осмотр, консультация) врача-стоматолога детского (проф.осмотр, справка о санации)</t>
  </si>
  <si>
    <t>В01.065.001</t>
  </si>
  <si>
    <t>Прием (осмотр, консультация) врача-стоматолога-терапевта первичный</t>
  </si>
  <si>
    <t>В01.065.002</t>
  </si>
  <si>
    <t>Прием (осмотр, консультация) врача-стоматолога-терапевта повторный</t>
  </si>
  <si>
    <t>В01.065:011</t>
  </si>
  <si>
    <t>Прием (осмотр, консультация) врача-стоматолога-терапевта ( проф.осмотр, справка о санации)</t>
  </si>
  <si>
    <t>В01.065.003</t>
  </si>
  <si>
    <t>Прием (осмотр, консультация) зубного врача первичный</t>
  </si>
  <si>
    <t>В01.065.004</t>
  </si>
  <si>
    <t>Прием (осмотр, консультация) зубного врача повторный</t>
  </si>
  <si>
    <t>В01.065:012</t>
  </si>
  <si>
    <t>Прием (осмотр, консультация) зубного врача (проф.осмотр, справка о санации)</t>
  </si>
  <si>
    <t>В01.065.007</t>
  </si>
  <si>
    <t>Прием (осмотр, консультация) врача-стоматолога первичный</t>
  </si>
  <si>
    <t>В01.065.008</t>
  </si>
  <si>
    <t>Прием (осмотр, консультация) врача-стоматолога повторный</t>
  </si>
  <si>
    <t>В01.065:013</t>
  </si>
  <si>
    <t>Прием (осмотр, консультация) врача-стоматолога (проф.осмотр, справка о санации)</t>
  </si>
  <si>
    <t>В01.066.001</t>
  </si>
  <si>
    <t>Прием (осмотр, консультация) врача-стоматолога ортопеда первичный</t>
  </si>
  <si>
    <t>В01.066.002</t>
  </si>
  <si>
    <t>Прием (осмотр, консультация) врача-стоматолога-ортопеда повторный</t>
  </si>
  <si>
    <t>В01.067.001</t>
  </si>
  <si>
    <t>Прием (осмотр, консультация) врача-стоматолога-хирурга первичный</t>
  </si>
  <si>
    <t>В01.067.002</t>
  </si>
  <si>
    <t>Прием (осмотр, консультация) врача-стоматолога-хирурга повторный</t>
  </si>
  <si>
    <t>А06.07.010</t>
  </si>
  <si>
    <t>Радиовизиография челюстно-лицевой области</t>
  </si>
  <si>
    <t>В01.003.004.005</t>
  </si>
  <si>
    <t>Инфильтрационная анестезия</t>
  </si>
  <si>
    <t>В01.003.004.002</t>
  </si>
  <si>
    <t>Проводниковая анестезия</t>
  </si>
  <si>
    <t>А16.07.051:001</t>
  </si>
  <si>
    <t>Профессиональная гигиена полости рта и зубов: УЗ-методом всех зубов</t>
  </si>
  <si>
    <t>А16.07.051:002</t>
  </si>
  <si>
    <t>Профессиональная гигиена полости рта и зубов: порошкоструйным методом</t>
  </si>
  <si>
    <t>А16.07.051:003</t>
  </si>
  <si>
    <t>Профессиональная гигиена полости рта и зубов: комплексная проф.гигиена полости рта</t>
  </si>
  <si>
    <t>А22.07.002</t>
  </si>
  <si>
    <t>Ультразвуковое удаление наддесневых и поддесневых зубных отложений в области зуба</t>
  </si>
  <si>
    <t>А13.30.007</t>
  </si>
  <si>
    <t>Обучение гигиене полости рта</t>
  </si>
  <si>
    <t>А16.07.050:001</t>
  </si>
  <si>
    <t>Профессиональное отбеливание зубов: использование ZOOM 3</t>
  </si>
  <si>
    <t>А16.07.050:002</t>
  </si>
  <si>
    <t>Профессиональное отбеливание зубов: изготовление каппы индивидуальной</t>
  </si>
  <si>
    <t>ТЕРАПИЯ</t>
  </si>
  <si>
    <t>А11.07.024</t>
  </si>
  <si>
    <t>Местное применение реминерализирующих препаратов в области зуба</t>
  </si>
  <si>
    <t>А11.07.012:001</t>
  </si>
  <si>
    <t>Глубокое фторирование эмали зуба: с применением ICON</t>
  </si>
  <si>
    <t>А16.07.057</t>
  </si>
  <si>
    <t>Запечатывание фиссуры зуба герметиком</t>
  </si>
  <si>
    <t>А16.07.082:001</t>
  </si>
  <si>
    <t>Сошлифовывание твердых тканей зуба: препарирование с диагностической целью</t>
  </si>
  <si>
    <t>А16.07.002.009</t>
  </si>
  <si>
    <t>Наложение временной пломбы</t>
  </si>
  <si>
    <t>А16.07.002.009:001</t>
  </si>
  <si>
    <t>Наложение временной пломбы: лечебно-диагностическая (СИЦ до 3 месяцев)</t>
  </si>
  <si>
    <t>А16.07.002.010</t>
  </si>
  <si>
    <t>Восстановление зуба пломбой I, V, VI класс по Блэку с использованием материалов из фотополимеров</t>
  </si>
  <si>
    <t>А16.07.002.010:001</t>
  </si>
  <si>
    <t>Восстановление зуба пломбой I, V, VI класс по Блэку с использованием материалов из фотополимеров: с применением штифтов</t>
  </si>
  <si>
    <t>А16.07.002.011</t>
  </si>
  <si>
    <t>Восстановление зуба пломбой с нарушением контактного пункта II, III класс по Блэку с использованием материалов из фотополимеров</t>
  </si>
  <si>
    <t>А16.07.002.011:001</t>
  </si>
  <si>
    <t>Восстановление зуба пломбой с нарушением контактного пункта II, III класс по Блэку с использованием материалов из фотополимеров: с применением штифтов</t>
  </si>
  <si>
    <t>А16.07.002.012</t>
  </si>
  <si>
    <t>Восстановление зуба пломбой IV класс по Блэку с использованием материалов из фотополимеров</t>
  </si>
  <si>
    <t>А16.07.002.012:001</t>
  </si>
  <si>
    <t>Восстановление зуба пломбой IV класс по Блэку с использованием материалов из фотополимеров: с применением штифтов</t>
  </si>
  <si>
    <t>А16.07.002:001</t>
  </si>
  <si>
    <t>Восстановление зуба пломбой: временное восстановление отсутствующего зуба с применением стекловолокна (мост)</t>
  </si>
  <si>
    <t>А16.07.002:002</t>
  </si>
  <si>
    <t>Восстановление зуба пломбой: временное восстановление коронковой части зуба, разрушенной более 50%</t>
  </si>
  <si>
    <t>А16.07.002:003</t>
  </si>
  <si>
    <t>Восстановление зуба пломбой: восстановление культи зуба под коронку</t>
  </si>
  <si>
    <t>А16.07.002:004</t>
  </si>
  <si>
    <t>Восстановление зуба пломбой: винир прямым способом</t>
  </si>
  <si>
    <t>А16.07.009</t>
  </si>
  <si>
    <t>Пульпотомия (ампутация коронковой пульпы)</t>
  </si>
  <si>
    <t>А16.07.009:001</t>
  </si>
  <si>
    <t>Пульпотомия (ампутация коронковой пульпы): лечение методом витальной ампутации</t>
  </si>
  <si>
    <t>А11.07.027</t>
  </si>
  <si>
    <t>Наложение девитализирующей пасты</t>
  </si>
  <si>
    <t>А16.07.010</t>
  </si>
  <si>
    <t>Экстирпация пульпы</t>
  </si>
  <si>
    <t>А16.07.030.001</t>
  </si>
  <si>
    <t>Инструментальная и медикаментозная обработка хорошо проходимого корневого канала</t>
  </si>
  <si>
    <t>А16.07.030.002</t>
  </si>
  <si>
    <t>Инструментальная и медикаментозная обработка плохо проходимого корневого канала</t>
  </si>
  <si>
    <t>А16.07.030.002:001</t>
  </si>
  <si>
    <t>Инструментальная и медикаментозная обработка плохо проходимого корневого канала: извлечение из корневого канала зуба инородного тела (до 30 минут)</t>
  </si>
  <si>
    <t>А16.07.082.001</t>
  </si>
  <si>
    <t>Распломбировка корневого канала ранее леченного пастой</t>
  </si>
  <si>
    <t>А16.07.082.002</t>
  </si>
  <si>
    <t>Распломбировка одного корневого канала ранее леченного фосфатцементом/резорцин-формальдегидным методом</t>
  </si>
  <si>
    <t>А16.07.030.03:001</t>
  </si>
  <si>
    <t>Временное пломбирование лекарственным препаратом корневого канала: с применением пасты</t>
  </si>
  <si>
    <t>А16.07.030.03:002</t>
  </si>
  <si>
    <t>Временное пломбирование лекарственным препаратом корневого канала: с применением жидкостей</t>
  </si>
  <si>
    <t>А16.07.091</t>
  </si>
  <si>
    <t>Снятие временной пломбы</t>
  </si>
  <si>
    <t>А16.07.008.001</t>
  </si>
  <si>
    <t>Пломбирование корневого канала зуба пастой</t>
  </si>
  <si>
    <t>А16.07.008.002</t>
  </si>
  <si>
    <t>Пломбирование корневого канала зуба гуттаперчевыми штифтами</t>
  </si>
  <si>
    <t>А16.07.008:001</t>
  </si>
  <si>
    <t>Пломбирование корневого канала зуба: с применением горячей гуттаперчи</t>
  </si>
  <si>
    <t>А16.07.008.003</t>
  </si>
  <si>
    <t>Закрытие перфорации стенки корневого канала зуба</t>
  </si>
  <si>
    <t>ХИРУРГИЯ</t>
  </si>
  <si>
    <t>А16.07.001.001</t>
  </si>
  <si>
    <t>Удаление временного зуба</t>
  </si>
  <si>
    <t>А16.07.001.001:001</t>
  </si>
  <si>
    <t>Удаление временного зуба: при подвижности</t>
  </si>
  <si>
    <t>А16.07.001.002:001</t>
  </si>
  <si>
    <t>Удаление постоянного зуба: простое, высокая степень подвижности, в том числе подвижного имплантата</t>
  </si>
  <si>
    <t>А16.07.001.002:002</t>
  </si>
  <si>
    <t>Удаление постоянного зуба: средней степени сложности</t>
  </si>
  <si>
    <t>А16.07.001.002:003</t>
  </si>
  <si>
    <t>Удаление постоянного зуба: сложное, в том числе остеоинтегрированного имплантата</t>
  </si>
  <si>
    <t>А16.07.001.003</t>
  </si>
  <si>
    <t>Удаление зуба сложное с разъединением корней</t>
  </si>
  <si>
    <t>А16.07.024</t>
  </si>
  <si>
    <t>Операция удаления ретинированного, дистопированного или сверхкомплектного зуба</t>
  </si>
  <si>
    <t>А16.07.059</t>
  </si>
  <si>
    <t>Гемисекция зуба</t>
  </si>
  <si>
    <t>А16.07.007</t>
  </si>
  <si>
    <t>Резекция верхушки корня</t>
  </si>
  <si>
    <t>А16.07.013</t>
  </si>
  <si>
    <t>Отсроченный кюретаж лунки удаленного зуба</t>
  </si>
  <si>
    <t>А16.07.095</t>
  </si>
  <si>
    <t>Остановка луночного кровотечения без наложения швов</t>
  </si>
  <si>
    <t>А16.07.058</t>
  </si>
  <si>
    <t>Лечение перикоронита (промывание, рассечение и/или иссечение капюшона)</t>
  </si>
  <si>
    <t>А16.01.012</t>
  </si>
  <si>
    <t>Вскрытие и дренирование флегмоны (абсцесса)</t>
  </si>
  <si>
    <t>А16.07.011</t>
  </si>
  <si>
    <t>Вскрытие подслизистого или поднадкостничного очага воспаления в полости рта</t>
  </si>
  <si>
    <t>А16.07.012</t>
  </si>
  <si>
    <t>Вскрытие и дренирование одонтогенного абсцесса</t>
  </si>
  <si>
    <t>А16.07.014</t>
  </si>
  <si>
    <t>Вскрытие и дренирование абсцесса полости рта</t>
  </si>
  <si>
    <t>А16.07.040</t>
  </si>
  <si>
    <t>Лоскутная операция в полости рта</t>
  </si>
  <si>
    <t>А16.07.042</t>
  </si>
  <si>
    <t>Пластика уздечки верхней губы</t>
  </si>
  <si>
    <t>А16.07.043</t>
  </si>
  <si>
    <t>Пластика уздечки нижней губы</t>
  </si>
  <si>
    <t>А16.07.044</t>
  </si>
  <si>
    <t>Пластика уздечки языка</t>
  </si>
  <si>
    <t>А16.07.045</t>
  </si>
  <si>
    <t>Вестибулопластика</t>
  </si>
  <si>
    <t>А16.07.026:001</t>
  </si>
  <si>
    <t>Гингивэктомия: в области 1 зуба</t>
  </si>
  <si>
    <t>А16.07.026:002</t>
  </si>
  <si>
    <t>Гингивэктомия: удлинение коронковой части зуба</t>
  </si>
  <si>
    <t>А16.07.089</t>
  </si>
  <si>
    <t>Гингивопластика</t>
  </si>
  <si>
    <t>А16.07.089:001</t>
  </si>
  <si>
    <t>Гингивопластика: закрытие рецессии десны</t>
  </si>
  <si>
    <t>А16.07.089:002</t>
  </si>
  <si>
    <t>Гингивопластика: пластика мягких тканей в области имплантата</t>
  </si>
  <si>
    <t>А16.07.089:003</t>
  </si>
  <si>
    <t>Гингивопластика: удаление избытка мягких тканей альвеолярной дуги</t>
  </si>
  <si>
    <t>А16.07.096</t>
  </si>
  <si>
    <t>Пластика перфорации верхнечелюстной пазухи</t>
  </si>
  <si>
    <t>А16.22.012</t>
  </si>
  <si>
    <t>Удаление камней из протоков слюнных желез</t>
  </si>
  <si>
    <t>А16.07.097:001</t>
  </si>
  <si>
    <t>Наложение шва на слизистую оболочку рта: резрбируемый материал</t>
  </si>
  <si>
    <t>А16.07.097:002</t>
  </si>
  <si>
    <t>Наложение шва на слизистую оболочку рта: нерезорбируемый материал</t>
  </si>
  <si>
    <t>А16.30.069</t>
  </si>
  <si>
    <t>Снятие послеоперационных швов</t>
  </si>
  <si>
    <t>А15.07.002</t>
  </si>
  <si>
    <t>Наложение повязки при операциях в полости рта</t>
  </si>
  <si>
    <t>А11.07.022</t>
  </si>
  <si>
    <t>Аппликация лекарственного препарата на слизистую оболочку полости рта</t>
  </si>
  <si>
    <t>А15.07.003</t>
  </si>
  <si>
    <t>Наложение лечебной повязки при заболеваниях слизистой оболочки полости рта и пародонта в области одной челюсти</t>
  </si>
  <si>
    <t>А16.01.004</t>
  </si>
  <si>
    <t>Хирургическая обработка раны или инфицированной ткани</t>
  </si>
  <si>
    <t>А16.07.054:001</t>
  </si>
  <si>
    <t>Внутрикостная дентальная имплантация: установка одного имплантата (со стоимостью имплантата) Dentium, Osstem, AlphaBIO</t>
  </si>
  <si>
    <t>А16.07.054:002</t>
  </si>
  <si>
    <t>Внутрикостная дентальная имплантация: установка формирователя десны</t>
  </si>
  <si>
    <t>А16.07.054:003</t>
  </si>
  <si>
    <t>Внутрикостная дентальная имплантация: установка одного ортодонтического микроимплантата (со стоимостью имплантата) VectorTAS</t>
  </si>
  <si>
    <t>А16.07.054:004</t>
  </si>
  <si>
    <t>Внутрикостная дентальная имплантация: создание доступа к ретинированным зубам для ортодонтического лечения</t>
  </si>
  <si>
    <t>А16.07.054:005</t>
  </si>
  <si>
    <t>Внутрикостная дентальная имплантация: применение навигационного шаблона 1-2 единицы</t>
  </si>
  <si>
    <t>А16.07.054:006</t>
  </si>
  <si>
    <t>Внутрикостная дентальная имплантация: применение навигационного шаблона 3-5 единиц</t>
  </si>
  <si>
    <t>А16.07.055:001</t>
  </si>
  <si>
    <t>Синус-лифтинг (костная пластика, остеопластика): операция открытого синус-лифтинга</t>
  </si>
  <si>
    <t>А16.07.055:002</t>
  </si>
  <si>
    <t>Синус-лифтинг (костная пластика, остеопластика): операция закрытого синус-лифтинга</t>
  </si>
  <si>
    <t>А16.07.041:001</t>
  </si>
  <si>
    <t>Костная пластика челюстно-лицевой области: применение резорбируемой мембраны малой</t>
  </si>
  <si>
    <t>А16.07.041:002</t>
  </si>
  <si>
    <t>Костная пластика челюстно-лицевой области: применение резорбируемой мембраны большой</t>
  </si>
  <si>
    <t>А16.07.041:003</t>
  </si>
  <si>
    <t>Костная пластика челюстно-лицевой области: применение пина для укладки мембраны</t>
  </si>
  <si>
    <t>А16.07.041:004</t>
  </si>
  <si>
    <t>Костная пластика челюстно-лицевой области: применение Коллапана при амбулаторных операциях</t>
  </si>
  <si>
    <t>А16.07.041:005</t>
  </si>
  <si>
    <t>Костная пластика челюстно-лицевой области: применение Стимул-Осс при амбулаторных операциях</t>
  </si>
  <si>
    <t>А16.07.041:006</t>
  </si>
  <si>
    <t>Костная пластика челюстно-лицевой области: применение костнозамещающего препарата 1 мл/1г</t>
  </si>
  <si>
    <t>ОРТОПЕДИЯ</t>
  </si>
  <si>
    <t>А02.07.010.001:001</t>
  </si>
  <si>
    <t>Снятие оттиска с одной челюсти: альгинатными массами</t>
  </si>
  <si>
    <t>А02.07.010.001:002</t>
  </si>
  <si>
    <t>Снятие оттиска с одной челюсти: силиконовыми массами "С"</t>
  </si>
  <si>
    <t>А02.07.010.001:003</t>
  </si>
  <si>
    <t>Снятие оттиска с одной челюсти: силиконовыми массами "А"</t>
  </si>
  <si>
    <t>А02.07.010.001:004</t>
  </si>
  <si>
    <t>Снятие оттиска с одной челюсти: регистрация прикуса</t>
  </si>
  <si>
    <t>А02.07.010.001:005</t>
  </si>
  <si>
    <t>Снятие оттиска с одной челюсти: индивидуальная ложка</t>
  </si>
  <si>
    <t>А02.07.010.001:006</t>
  </si>
  <si>
    <t>Снятие оттиска с одной челюсти: лабораторный набор для снятия оттисков закрытой ложкой</t>
  </si>
  <si>
    <t>А02.07.010.001:007</t>
  </si>
  <si>
    <t>Снятие оттиска с одной челюсти: лабораторный набор для снятия оттисков открытой ложкой</t>
  </si>
  <si>
    <t>А16.07.053:001</t>
  </si>
  <si>
    <t>Снятие несъемных ортопедических конструкций: за 1 единицу</t>
  </si>
  <si>
    <t>А16.07.033</t>
  </si>
  <si>
    <t>Восстановление зуба коронкой с использованием цельнолитой культевой вкладки</t>
  </si>
  <si>
    <t>А16.07.033:001</t>
  </si>
  <si>
    <t>Восстановление зуба коронкой с использованием цельнолитой культовой вкладки: разборной</t>
  </si>
  <si>
    <t>А16.07.004:001</t>
  </si>
  <si>
    <t>Восстановление зуба коронкой: цельнолитой</t>
  </si>
  <si>
    <t>А16.07.004:002</t>
  </si>
  <si>
    <t>Восстановление зуба коронкой: металлокерамической</t>
  </si>
  <si>
    <t>А16.07.004:003</t>
  </si>
  <si>
    <t>Восстановление зуба коронкой: керамической</t>
  </si>
  <si>
    <t>А16.07.004:004</t>
  </si>
  <si>
    <t>Восстановление зуба коронкой: на основе диоксида циркония</t>
  </si>
  <si>
    <t>А16.07.004:005</t>
  </si>
  <si>
    <t>Восстановление зуба коронкой: временной пластмассовой прямым методом</t>
  </si>
  <si>
    <t>А16.07.004:006</t>
  </si>
  <si>
    <t>Восстановление зуба коронкой: временной пластмассовой непрямым методом</t>
  </si>
  <si>
    <t>А16.07.004:007</t>
  </si>
  <si>
    <t>Восстановление зуба коронкой: эстетическая моделировка воском Wax Up 1 еденица</t>
  </si>
  <si>
    <t>А16.07.004:008</t>
  </si>
  <si>
    <t>Восстановление зуба коронкой: эстетическая моделировка Mock Up 1 еденица</t>
  </si>
  <si>
    <t>А16.07.049</t>
  </si>
  <si>
    <t>Повторная фиксация на постоянный цемент несъемных ортопедических конструкций</t>
  </si>
  <si>
    <t>А16.07.003:001</t>
  </si>
  <si>
    <t>Восстановление зуба вкладками, виниром, полукоронкой: композитная вкладка непрямым методом (включая первичную фиксацию)</t>
  </si>
  <si>
    <t>А16.07.003:002</t>
  </si>
  <si>
    <t>Восстановление зуба вкладками, виниром, полукоронкой: керамическая вкладка непрямым методом (включая первичную фиксацию)</t>
  </si>
  <si>
    <t>А16.07.003:003</t>
  </si>
  <si>
    <t>Восстановление зуба вкладками, виниром, полукоронкой: винир e.max (включая первичную фиксацию)</t>
  </si>
  <si>
    <t>А16.07.023:001</t>
  </si>
  <si>
    <t>Протезирование зубов полными съемными пластиночными протезами: полный съемный протез</t>
  </si>
  <si>
    <t>А16.07.023:002</t>
  </si>
  <si>
    <t>Протезирование зубов полными съемными пластиночными протезами: гипоаллергенный протез Acry free</t>
  </si>
  <si>
    <t>А16.07.035:001</t>
  </si>
  <si>
    <t>Протезирование частичными съемными пластиночными протезами: частично съемный протез</t>
  </si>
  <si>
    <t>А16.07.035:002</t>
  </si>
  <si>
    <t>Протезирование частичными съемными пластиночными протезами: гипоаллергенный протез Acry free</t>
  </si>
  <si>
    <t>А16.07.035:003</t>
  </si>
  <si>
    <t>Протезирование частичными съемными пластиночными протезами: эстетичный съемный протез с кламмерами под цвет зубов</t>
  </si>
  <si>
    <t>А16.07.035:004</t>
  </si>
  <si>
    <t>Протезирование частичными съемными пластиночными протезами: гибкий протез</t>
  </si>
  <si>
    <t>А16.07.035:005</t>
  </si>
  <si>
    <t>Протезирование частичными съемными пластиночными протезами: микро-протез 1-3 зуба</t>
  </si>
  <si>
    <t>А16.07.035:006</t>
  </si>
  <si>
    <t>Протезирование частичными съемными пластиночными протезами: гибкий микро-протез 1-2 зуба</t>
  </si>
  <si>
    <t>А16.07.035:007</t>
  </si>
  <si>
    <t>Протезирование частичными съемными пластиночными протезами: эстетичный микро-протез 1-2 зуба с кламмерами под цвет зубов</t>
  </si>
  <si>
    <t>А23.07.002:001</t>
  </si>
  <si>
    <t>Услуги по изготовлению ортопедической конструкции стоматологической: армирование протеза (полного, частичного) стандартной сеткой</t>
  </si>
  <si>
    <t>А23.07.002:002</t>
  </si>
  <si>
    <t>Услуги по изготовлению ортопедической конструкции стоматологической: армирование протеза (полного, частичного) литой сеткой</t>
  </si>
  <si>
    <t>А23.07.002:003</t>
  </si>
  <si>
    <t>Услуги по изготовлению ортопедической конструкции стоматологической: перебазировка протеза клиническая</t>
  </si>
  <si>
    <t>А23.07.002:004</t>
  </si>
  <si>
    <t>Услуги по изготовлению ортопедической конструкции стоматологической: перебазировка протеза лабораторная</t>
  </si>
  <si>
    <t>А23.07.002:005</t>
  </si>
  <si>
    <t>Услуги по изготовлению ортопедической конструкции стоматологической: починка протеза</t>
  </si>
  <si>
    <t>А23.07.002:006</t>
  </si>
  <si>
    <t>Услуги по изготовлению ортопедической конструкции стоматологической: приварка 1-2 зубов</t>
  </si>
  <si>
    <t>А23.07.002:007</t>
  </si>
  <si>
    <t>Услуги по изготовлению ортопедической конструкции стоматологической: приварка 3-4 зубов</t>
  </si>
  <si>
    <t>А23.07.002:008</t>
  </si>
  <si>
    <t>Услуги по изготовлению ортопедической конструкции стоматологической: приварка кламмера</t>
  </si>
  <si>
    <t>А16.07.036:001</t>
  </si>
  <si>
    <t>Протезирование съемными бюгельными протезами: с опорой на кламмера</t>
  </si>
  <si>
    <t>А16.07.036:002</t>
  </si>
  <si>
    <t>Протезирование съемными бюгельными протезами: кламмерный с интеркомами</t>
  </si>
  <si>
    <t>А16.07.036:003</t>
  </si>
  <si>
    <t>Протезирование съемными бюгельными протезами: кламмерный эстетичный ( кламмера под цвет Зубов, гибкий)</t>
  </si>
  <si>
    <t>А16.07.036:004</t>
  </si>
  <si>
    <t>Протезирование съемными бюгельными протезами: замковая фиксация Bredent (со стоимостью аттачментов)</t>
  </si>
  <si>
    <t>А16.07.036:005</t>
  </si>
  <si>
    <t>Протезирование съемными бюгельными протезами: замковая фиксация МК1</t>
  </si>
  <si>
    <t>А16.07.036:006</t>
  </si>
  <si>
    <t>Протезирование съемными бюгельными протезами: замковая фиксация МК1, односторонний</t>
  </si>
  <si>
    <t>А16.07.006:001</t>
  </si>
  <si>
    <t>Протезирование зуба с использованием имплантата: коронка металлокерамическая</t>
  </si>
  <si>
    <t>А16.07.006:002</t>
  </si>
  <si>
    <t>Протезирование зуба с использованием имплантата: коронка из диоксида циркония</t>
  </si>
  <si>
    <t>А16.07.006:003</t>
  </si>
  <si>
    <t>Протезирование зуба с использованием имплантата: коронка временная фрезерованная</t>
  </si>
  <si>
    <t>А16.07.006:004</t>
  </si>
  <si>
    <t>Протезирование зуба с использованием имплантата: индивидуальный титановый абатмент</t>
  </si>
  <si>
    <t>А16.07.006:005</t>
  </si>
  <si>
    <t>Протезирование зуба с использованием имплантата: индивидуальный абатмент из диоксида циркония на титановом основании</t>
  </si>
  <si>
    <t>А16.07.006:006</t>
  </si>
  <si>
    <t>Протезирование зуба с использованием имплантата: провизорный протез для немедленной нагрузки на имплантаты</t>
  </si>
  <si>
    <t>Услуги по изготовлению ортопедической конструкции стоматологической: диагностическая модель лабораторная</t>
  </si>
  <si>
    <t>Услуги по изготовлению ортопедической конструкции стоматологической: диагностическая модель клиническая</t>
  </si>
  <si>
    <t>Услуги по изготовлению ортопедической конструкции стоматологической: цементная фиксация коронки на имплантате</t>
  </si>
  <si>
    <t>Услуги по изготовлению ортопедической конструкции стоматологической: винтовая фиксация коронки на имплантате</t>
  </si>
  <si>
    <t>Услуги по изготовлению ортопедической конструкции стоматологической: временная фиксация коронки на имплантате</t>
  </si>
  <si>
    <t>А16.07.021:001</t>
  </si>
  <si>
    <t>Коррекция прикуса с использованием съемных и несъемных ортопедических конструкций: каппа индивидуальная на одну челюсть</t>
  </si>
  <si>
    <t>А16.07.021:002</t>
  </si>
  <si>
    <t>Коррекция прикуса с использованием съемных и несъемных ортопедических конструкций: каппа завышающая прикус индивидуальная на одну челюсть</t>
  </si>
  <si>
    <t>ДЕТСТВО</t>
  </si>
  <si>
    <t>В01.064.004:001</t>
  </si>
  <si>
    <t>Прием (осмотр, консультация) врача-стоматолога детского повторный: для установления контакта с ребенком</t>
  </si>
  <si>
    <t>В01.065.004:001</t>
  </si>
  <si>
    <t>Прием (осмотр, консультация) зубного врача повторный: для установления контакта с ребенком</t>
  </si>
  <si>
    <t>В01.065.012</t>
  </si>
  <si>
    <t>В01.065.008:001</t>
  </si>
  <si>
    <t>Прием (осмотр, консультация) врача-стоматолога повторный: для установления контакта с ребенком</t>
  </si>
  <si>
    <t>В01.065.013</t>
  </si>
  <si>
    <t>А16.07.051:004</t>
  </si>
  <si>
    <t>Профессиональная гигиена полости рта и зубов: проф.гигиена полости рта у детей (молочный прикус)</t>
  </si>
  <si>
    <t>А16.07.051:005</t>
  </si>
  <si>
    <t>Профессиональная гигиена полости рта и зубов: проф.гигиена полости рта у детей (постоянный прикус)</t>
  </si>
  <si>
    <t>А11.07.024:001</t>
  </si>
  <si>
    <t>Местное применение реминерализирующих препаратов в области зуба: аппликации с использованием каппы (все зубы)</t>
  </si>
  <si>
    <t>А16.07.002:005</t>
  </si>
  <si>
    <t>Восстановление зуба пломбой: восстановление временного/молочного зуба с применением сиц, х/о материалов</t>
  </si>
  <si>
    <t>А16.07.002:006</t>
  </si>
  <si>
    <t>Восстановление зуба пломбой: восстановление временного/молочного зуба с применение световых материалов</t>
  </si>
  <si>
    <t>А16.07.009:002</t>
  </si>
  <si>
    <t>Пульпотомия (ампутация коронковой пульпы): лечение пульпита временного зуба методом витальной ампутации (без постановки постоянной пломбы)</t>
  </si>
  <si>
    <t>А16.07.008:002</t>
  </si>
  <si>
    <t>Пломбирование корневого канала зуба: лечение пульпита/периодонтита временного зуба (без постановки постоянной пломбы)</t>
  </si>
  <si>
    <t>Стоимость, руб.Стоимость, руб.</t>
  </si>
  <si>
    <t>10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</si>
</sst>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0"/>
      <color rgb="FF000000"/>
      <name val="Calibri"/>
      <scheme val="minor"/>
    </font>
    <font>
      <b/>
      <sz val="10"/>
      <color rgb="FF0000FF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/>
    <xf numFmtId="0" fontId="4" fillId="0" borderId="0" xfId="1" applyFont="1"/>
    <xf numFmtId="10" fontId="4" fillId="0" borderId="0" xfId="1" applyNumberFormat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1" fontId="3" fillId="0" borderId="0" xfId="1" applyNumberFormat="1" applyFont="1"/>
    <xf numFmtId="10" fontId="3" fillId="0" borderId="0" xfId="1" applyNumberFormat="1" applyFont="1" applyAlignment="1">
      <alignment horizontal="right"/>
    </xf>
    <xf numFmtId="1" fontId="4" fillId="0" borderId="0" xfId="1" applyNumberFormat="1" applyFont="1"/>
    <xf numFmtId="10" fontId="3" fillId="0" borderId="0" xfId="1" applyNumberFormat="1" applyFont="1"/>
    <xf numFmtId="0" fontId="5" fillId="0" borderId="0" xfId="1" applyFont="1"/>
    <xf numFmtId="0" fontId="3" fillId="0" borderId="0" xfId="1" applyFont="1" applyAlignment="1">
      <alignment horizontal="left"/>
    </xf>
    <xf numFmtId="0" fontId="1" fillId="0" borderId="0" xfId="1"/>
    <xf numFmtId="0" fontId="2" fillId="0" borderId="0" xfId="1" applyFont="1" applyAlignment="1">
      <alignment horizontal="center"/>
    </xf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</cellXfs>
  <cellStyles count="2">
    <cellStyle name="Обычный" xfId="0" builtinId="0"/>
    <cellStyle name="Обычный 2" xfId="1" xr:uid="{1126F5D2-4E21-41E5-B86D-F3AF548EA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FE25-7D82-47BF-95AD-27597AE5E1A9}">
  <sheetPr>
    <outlinePr summaryBelow="0" summaryRight="0"/>
  </sheetPr>
  <dimension ref="A1:Y1000"/>
  <sheetViews>
    <sheetView tabSelected="1" topLeftCell="A200" workbookViewId="0">
      <selection activeCell="A193" sqref="A193:XFD193"/>
    </sheetView>
  </sheetViews>
  <sheetFormatPr defaultColWidth="12.5703125" defaultRowHeight="15" customHeight="1" x14ac:dyDescent="0.2"/>
  <cols>
    <col min="1" max="1" width="9" style="3" customWidth="1"/>
    <col min="2" max="2" width="17.140625" style="3" customWidth="1"/>
    <col min="3" max="3" width="139.7109375" style="3" customWidth="1"/>
    <col min="4" max="6" width="11" style="3" hidden="1" customWidth="1"/>
    <col min="7" max="7" width="17" style="3" hidden="1" customWidth="1"/>
    <col min="8" max="8" width="13.85546875" style="3" hidden="1" customWidth="1"/>
    <col min="9" max="25" width="11" style="3" customWidth="1"/>
    <col min="26" max="16384" width="12.5703125" style="3"/>
  </cols>
  <sheetData>
    <row r="1" spans="1:25" ht="15.75" customHeight="1" x14ac:dyDescent="0.2">
      <c r="A1" s="1"/>
      <c r="B1" s="18"/>
      <c r="C1" s="17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">
      <c r="A2" s="1"/>
      <c r="B2" s="16" t="s">
        <v>0</v>
      </c>
      <c r="C2" s="17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">
      <c r="A3" s="1"/>
      <c r="B3" s="16" t="s">
        <v>1</v>
      </c>
      <c r="C3" s="17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">
      <c r="A4" s="1"/>
      <c r="B4" s="16" t="s">
        <v>2</v>
      </c>
      <c r="C4" s="17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">
      <c r="A5" s="1"/>
      <c r="B5" s="16" t="s">
        <v>3</v>
      </c>
      <c r="C5" s="17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">
      <c r="A6" s="1"/>
      <c r="B6" s="16" t="s">
        <v>368</v>
      </c>
      <c r="C6" s="17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">
      <c r="A7" s="1"/>
      <c r="B7" s="1"/>
      <c r="C7" s="1"/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">
      <c r="A9" s="18" t="s">
        <v>4</v>
      </c>
      <c r="B9" s="17"/>
      <c r="C9" s="17"/>
      <c r="D9" s="1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">
      <c r="A10" s="4" t="s">
        <v>5</v>
      </c>
      <c r="B10" s="4" t="s">
        <v>6</v>
      </c>
      <c r="C10" s="4" t="s">
        <v>7</v>
      </c>
      <c r="D10" s="4" t="s">
        <v>8</v>
      </c>
      <c r="E10" s="5" t="s">
        <v>8</v>
      </c>
      <c r="F10" s="20"/>
      <c r="G10" s="17"/>
      <c r="H10" s="15" t="s">
        <v>367</v>
      </c>
      <c r="I10" s="6" t="s">
        <v>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75" customHeight="1" x14ac:dyDescent="0.2">
      <c r="A11" s="21" t="s">
        <v>9</v>
      </c>
      <c r="B11" s="17"/>
      <c r="C11" s="17"/>
      <c r="D11" s="17"/>
      <c r="E11" s="7"/>
      <c r="F11" s="7"/>
      <c r="G11" s="8">
        <f>100%+10%</f>
        <v>1.1000000000000001</v>
      </c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customHeight="1" x14ac:dyDescent="0.2">
      <c r="A12" s="9">
        <v>100</v>
      </c>
      <c r="B12" s="5" t="s">
        <v>10</v>
      </c>
      <c r="C12" s="5" t="s">
        <v>11</v>
      </c>
      <c r="D12" s="10">
        <v>800</v>
      </c>
      <c r="E12" s="10">
        <v>800</v>
      </c>
      <c r="F12" s="10">
        <v>700</v>
      </c>
      <c r="G12" s="5">
        <f t="shared" ref="G12:G39" si="0">(D12)*(100%+10%)</f>
        <v>880.00000000000011</v>
      </c>
      <c r="H12" s="11">
        <v>900</v>
      </c>
      <c r="I12" s="11">
        <f>H12</f>
        <v>900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75" customHeight="1" x14ac:dyDescent="0.2">
      <c r="A13" s="9">
        <v>101</v>
      </c>
      <c r="B13" s="5" t="s">
        <v>12</v>
      </c>
      <c r="C13" s="5" t="s">
        <v>13</v>
      </c>
      <c r="D13" s="10">
        <v>350</v>
      </c>
      <c r="E13" s="10">
        <v>350</v>
      </c>
      <c r="F13" s="10">
        <v>300</v>
      </c>
      <c r="G13" s="5">
        <f t="shared" si="0"/>
        <v>385.00000000000006</v>
      </c>
      <c r="H13" s="11">
        <v>400</v>
      </c>
      <c r="I13" s="11">
        <f t="shared" ref="I13:I39" si="1">H13</f>
        <v>400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75" customHeight="1" x14ac:dyDescent="0.2">
      <c r="A14" s="9">
        <v>102</v>
      </c>
      <c r="B14" s="5" t="s">
        <v>14</v>
      </c>
      <c r="C14" s="5" t="s">
        <v>15</v>
      </c>
      <c r="D14" s="10">
        <v>700</v>
      </c>
      <c r="E14" s="10">
        <v>700</v>
      </c>
      <c r="F14" s="10">
        <v>600</v>
      </c>
      <c r="G14" s="5">
        <f t="shared" si="0"/>
        <v>770.00000000000011</v>
      </c>
      <c r="H14" s="11">
        <v>800</v>
      </c>
      <c r="I14" s="11">
        <f t="shared" si="1"/>
        <v>800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75" customHeight="1" x14ac:dyDescent="0.2">
      <c r="A15" s="9">
        <v>103</v>
      </c>
      <c r="B15" s="5" t="s">
        <v>16</v>
      </c>
      <c r="C15" s="5" t="s">
        <v>17</v>
      </c>
      <c r="D15" s="10">
        <v>350</v>
      </c>
      <c r="E15" s="10">
        <v>350</v>
      </c>
      <c r="F15" s="10">
        <v>300</v>
      </c>
      <c r="G15" s="5">
        <f t="shared" si="0"/>
        <v>385.00000000000006</v>
      </c>
      <c r="H15" s="11">
        <v>400</v>
      </c>
      <c r="I15" s="11">
        <f t="shared" si="1"/>
        <v>400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75" customHeight="1" x14ac:dyDescent="0.2">
      <c r="A16" s="9">
        <v>104</v>
      </c>
      <c r="B16" s="5" t="s">
        <v>18</v>
      </c>
      <c r="C16" s="5" t="s">
        <v>19</v>
      </c>
      <c r="D16" s="10">
        <v>600</v>
      </c>
      <c r="E16" s="10">
        <v>600</v>
      </c>
      <c r="F16" s="10">
        <v>500</v>
      </c>
      <c r="G16" s="5">
        <f t="shared" si="0"/>
        <v>660</v>
      </c>
      <c r="H16" s="11">
        <v>700</v>
      </c>
      <c r="I16" s="11">
        <f t="shared" si="1"/>
        <v>700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75" customHeight="1" x14ac:dyDescent="0.2">
      <c r="A17" s="9">
        <v>105</v>
      </c>
      <c r="B17" s="5" t="s">
        <v>20</v>
      </c>
      <c r="C17" s="5" t="s">
        <v>21</v>
      </c>
      <c r="D17" s="10">
        <v>700</v>
      </c>
      <c r="E17" s="10">
        <v>700</v>
      </c>
      <c r="F17" s="10">
        <v>600</v>
      </c>
      <c r="G17" s="5">
        <f t="shared" si="0"/>
        <v>770.00000000000011</v>
      </c>
      <c r="H17" s="11">
        <v>800</v>
      </c>
      <c r="I17" s="11">
        <f t="shared" si="1"/>
        <v>800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75" customHeight="1" x14ac:dyDescent="0.2">
      <c r="A18" s="9">
        <v>106</v>
      </c>
      <c r="B18" s="5" t="s">
        <v>22</v>
      </c>
      <c r="C18" s="5" t="s">
        <v>23</v>
      </c>
      <c r="D18" s="10">
        <v>350</v>
      </c>
      <c r="E18" s="10">
        <v>350</v>
      </c>
      <c r="F18" s="10">
        <v>300</v>
      </c>
      <c r="G18" s="5">
        <f t="shared" si="0"/>
        <v>385.00000000000006</v>
      </c>
      <c r="H18" s="11">
        <v>400</v>
      </c>
      <c r="I18" s="11">
        <f t="shared" si="1"/>
        <v>400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75" customHeight="1" x14ac:dyDescent="0.2">
      <c r="A19" s="9">
        <v>107</v>
      </c>
      <c r="B19" s="5" t="s">
        <v>24</v>
      </c>
      <c r="C19" s="5" t="s">
        <v>25</v>
      </c>
      <c r="D19" s="10">
        <v>600</v>
      </c>
      <c r="E19" s="10">
        <v>600</v>
      </c>
      <c r="F19" s="10">
        <v>500</v>
      </c>
      <c r="G19" s="5">
        <f t="shared" si="0"/>
        <v>660</v>
      </c>
      <c r="H19" s="11">
        <v>700</v>
      </c>
      <c r="I19" s="11">
        <f t="shared" si="1"/>
        <v>700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75" customHeight="1" x14ac:dyDescent="0.2">
      <c r="A20" s="9">
        <v>108</v>
      </c>
      <c r="B20" s="5" t="s">
        <v>26</v>
      </c>
      <c r="C20" s="5" t="s">
        <v>27</v>
      </c>
      <c r="D20" s="10">
        <v>700</v>
      </c>
      <c r="E20" s="10">
        <v>700</v>
      </c>
      <c r="F20" s="10">
        <v>600</v>
      </c>
      <c r="G20" s="5">
        <f t="shared" si="0"/>
        <v>770.00000000000011</v>
      </c>
      <c r="H20" s="11">
        <v>800</v>
      </c>
      <c r="I20" s="11">
        <f t="shared" si="1"/>
        <v>800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 x14ac:dyDescent="0.2">
      <c r="A21" s="9">
        <v>109</v>
      </c>
      <c r="B21" s="5" t="s">
        <v>28</v>
      </c>
      <c r="C21" s="5" t="s">
        <v>29</v>
      </c>
      <c r="D21" s="10">
        <v>350</v>
      </c>
      <c r="E21" s="10">
        <v>350</v>
      </c>
      <c r="F21" s="10">
        <v>300</v>
      </c>
      <c r="G21" s="5">
        <f t="shared" si="0"/>
        <v>385.00000000000006</v>
      </c>
      <c r="H21" s="11">
        <v>400</v>
      </c>
      <c r="I21" s="11">
        <f t="shared" si="1"/>
        <v>400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 x14ac:dyDescent="0.2">
      <c r="A22" s="9">
        <v>110</v>
      </c>
      <c r="B22" s="5" t="s">
        <v>30</v>
      </c>
      <c r="C22" s="5" t="s">
        <v>31</v>
      </c>
      <c r="D22" s="10">
        <v>600</v>
      </c>
      <c r="E22" s="10">
        <v>600</v>
      </c>
      <c r="F22" s="10">
        <v>500</v>
      </c>
      <c r="G22" s="5">
        <f t="shared" si="0"/>
        <v>660</v>
      </c>
      <c r="H22" s="11">
        <v>700</v>
      </c>
      <c r="I22" s="11">
        <f t="shared" si="1"/>
        <v>700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 x14ac:dyDescent="0.2">
      <c r="A23" s="9">
        <v>111</v>
      </c>
      <c r="B23" s="5" t="s">
        <v>32</v>
      </c>
      <c r="C23" s="5" t="s">
        <v>33</v>
      </c>
      <c r="D23" s="10">
        <v>700</v>
      </c>
      <c r="E23" s="10">
        <v>700</v>
      </c>
      <c r="F23" s="10">
        <v>600</v>
      </c>
      <c r="G23" s="5">
        <f t="shared" si="0"/>
        <v>770.00000000000011</v>
      </c>
      <c r="H23" s="11">
        <v>800</v>
      </c>
      <c r="I23" s="11">
        <f t="shared" si="1"/>
        <v>800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 x14ac:dyDescent="0.2">
      <c r="A24" s="9">
        <v>112</v>
      </c>
      <c r="B24" s="5" t="s">
        <v>34</v>
      </c>
      <c r="C24" s="5" t="s">
        <v>35</v>
      </c>
      <c r="D24" s="10">
        <v>350</v>
      </c>
      <c r="E24" s="10">
        <v>350</v>
      </c>
      <c r="F24" s="10">
        <v>300</v>
      </c>
      <c r="G24" s="5">
        <f t="shared" si="0"/>
        <v>385.00000000000006</v>
      </c>
      <c r="H24" s="11">
        <v>400</v>
      </c>
      <c r="I24" s="11">
        <f t="shared" si="1"/>
        <v>400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 x14ac:dyDescent="0.2">
      <c r="A25" s="9">
        <v>113</v>
      </c>
      <c r="B25" s="5" t="s">
        <v>36</v>
      </c>
      <c r="C25" s="5" t="s">
        <v>37</v>
      </c>
      <c r="D25" s="10">
        <v>600</v>
      </c>
      <c r="E25" s="10">
        <v>600</v>
      </c>
      <c r="F25" s="10">
        <v>500</v>
      </c>
      <c r="G25" s="5">
        <f t="shared" si="0"/>
        <v>660</v>
      </c>
      <c r="H25" s="11">
        <v>700</v>
      </c>
      <c r="I25" s="11">
        <f t="shared" si="1"/>
        <v>700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 x14ac:dyDescent="0.2">
      <c r="A26" s="9">
        <v>114</v>
      </c>
      <c r="B26" s="5" t="s">
        <v>38</v>
      </c>
      <c r="C26" s="5" t="s">
        <v>39</v>
      </c>
      <c r="D26" s="10">
        <v>800</v>
      </c>
      <c r="E26" s="10">
        <v>800</v>
      </c>
      <c r="F26" s="10">
        <v>700</v>
      </c>
      <c r="G26" s="5">
        <f t="shared" si="0"/>
        <v>880.00000000000011</v>
      </c>
      <c r="H26" s="11">
        <v>900</v>
      </c>
      <c r="I26" s="11">
        <f t="shared" si="1"/>
        <v>900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 x14ac:dyDescent="0.2">
      <c r="A27" s="9">
        <v>115</v>
      </c>
      <c r="B27" s="5" t="s">
        <v>40</v>
      </c>
      <c r="C27" s="5" t="s">
        <v>41</v>
      </c>
      <c r="D27" s="10">
        <v>350</v>
      </c>
      <c r="E27" s="10">
        <v>350</v>
      </c>
      <c r="F27" s="10">
        <v>300</v>
      </c>
      <c r="G27" s="5">
        <f t="shared" si="0"/>
        <v>385.00000000000006</v>
      </c>
      <c r="H27" s="11">
        <v>400</v>
      </c>
      <c r="I27" s="11">
        <f t="shared" si="1"/>
        <v>400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 x14ac:dyDescent="0.2">
      <c r="A28" s="9">
        <v>116</v>
      </c>
      <c r="B28" s="5" t="s">
        <v>42</v>
      </c>
      <c r="C28" s="5" t="s">
        <v>43</v>
      </c>
      <c r="D28" s="10">
        <v>700</v>
      </c>
      <c r="E28" s="10">
        <v>700</v>
      </c>
      <c r="F28" s="10">
        <v>600</v>
      </c>
      <c r="G28" s="5">
        <f t="shared" si="0"/>
        <v>770.00000000000011</v>
      </c>
      <c r="H28" s="11">
        <v>800</v>
      </c>
      <c r="I28" s="11">
        <f t="shared" si="1"/>
        <v>800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 x14ac:dyDescent="0.2">
      <c r="A29" s="9">
        <v>117</v>
      </c>
      <c r="B29" s="5" t="s">
        <v>44</v>
      </c>
      <c r="C29" s="5" t="s">
        <v>45</v>
      </c>
      <c r="D29" s="10">
        <v>350</v>
      </c>
      <c r="E29" s="10">
        <v>350</v>
      </c>
      <c r="F29" s="10">
        <v>300</v>
      </c>
      <c r="G29" s="5">
        <f t="shared" si="0"/>
        <v>385.00000000000006</v>
      </c>
      <c r="H29" s="11">
        <v>400</v>
      </c>
      <c r="I29" s="11">
        <f t="shared" si="1"/>
        <v>400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 x14ac:dyDescent="0.2">
      <c r="A30" s="9">
        <v>118</v>
      </c>
      <c r="B30" s="5" t="s">
        <v>46</v>
      </c>
      <c r="C30" s="5" t="s">
        <v>47</v>
      </c>
      <c r="D30" s="10">
        <v>350</v>
      </c>
      <c r="E30" s="10">
        <v>350</v>
      </c>
      <c r="F30" s="10">
        <v>300</v>
      </c>
      <c r="G30" s="5">
        <f t="shared" si="0"/>
        <v>385.00000000000006</v>
      </c>
      <c r="H30" s="11">
        <v>400</v>
      </c>
      <c r="I30" s="11">
        <f t="shared" si="1"/>
        <v>400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2">
      <c r="A31" s="9">
        <v>119</v>
      </c>
      <c r="B31" s="5" t="s">
        <v>48</v>
      </c>
      <c r="C31" s="5" t="s">
        <v>49</v>
      </c>
      <c r="D31" s="10">
        <v>600</v>
      </c>
      <c r="E31" s="10">
        <v>600</v>
      </c>
      <c r="F31" s="10">
        <v>500</v>
      </c>
      <c r="G31" s="5">
        <f t="shared" si="0"/>
        <v>660</v>
      </c>
      <c r="H31" s="11">
        <v>700</v>
      </c>
      <c r="I31" s="11">
        <f t="shared" si="1"/>
        <v>700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 x14ac:dyDescent="0.2">
      <c r="A32" s="9">
        <v>120</v>
      </c>
      <c r="B32" s="5" t="s">
        <v>50</v>
      </c>
      <c r="C32" s="5" t="s">
        <v>51</v>
      </c>
      <c r="D32" s="10">
        <v>600</v>
      </c>
      <c r="E32" s="10">
        <v>600</v>
      </c>
      <c r="F32" s="10">
        <v>500</v>
      </c>
      <c r="G32" s="5">
        <f t="shared" si="0"/>
        <v>660</v>
      </c>
      <c r="H32" s="11">
        <v>700</v>
      </c>
      <c r="I32" s="11">
        <f t="shared" si="1"/>
        <v>700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 x14ac:dyDescent="0.2">
      <c r="A33" s="9">
        <v>121</v>
      </c>
      <c r="B33" s="5" t="s">
        <v>52</v>
      </c>
      <c r="C33" s="5" t="s">
        <v>53</v>
      </c>
      <c r="D33" s="10">
        <v>3300</v>
      </c>
      <c r="E33" s="10">
        <v>3300</v>
      </c>
      <c r="F33" s="10">
        <v>3000</v>
      </c>
      <c r="G33" s="5">
        <f t="shared" si="0"/>
        <v>3630.0000000000005</v>
      </c>
      <c r="H33" s="11">
        <f t="shared" ref="H33:H39" si="2">(D33)*(100%+15%)</f>
        <v>3794.9999999999995</v>
      </c>
      <c r="I33" s="11">
        <f t="shared" si="1"/>
        <v>3794.9999999999995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 x14ac:dyDescent="0.2">
      <c r="A34" s="9">
        <v>122</v>
      </c>
      <c r="B34" s="5" t="s">
        <v>54</v>
      </c>
      <c r="C34" s="5" t="s">
        <v>55</v>
      </c>
      <c r="D34" s="10">
        <v>3300</v>
      </c>
      <c r="E34" s="10">
        <v>3300</v>
      </c>
      <c r="F34" s="10">
        <v>3000</v>
      </c>
      <c r="G34" s="5">
        <f t="shared" si="0"/>
        <v>3630.0000000000005</v>
      </c>
      <c r="H34" s="11">
        <f t="shared" si="2"/>
        <v>3794.9999999999995</v>
      </c>
      <c r="I34" s="11">
        <f t="shared" si="1"/>
        <v>3794.9999999999995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 x14ac:dyDescent="0.2">
      <c r="A35" s="9">
        <v>123</v>
      </c>
      <c r="B35" s="5" t="s">
        <v>56</v>
      </c>
      <c r="C35" s="5" t="s">
        <v>57</v>
      </c>
      <c r="D35" s="10">
        <v>5500</v>
      </c>
      <c r="E35" s="10">
        <v>5500</v>
      </c>
      <c r="F35" s="10">
        <v>5000</v>
      </c>
      <c r="G35" s="5">
        <f t="shared" si="0"/>
        <v>6050.0000000000009</v>
      </c>
      <c r="H35" s="11">
        <f t="shared" si="2"/>
        <v>6324.9999999999991</v>
      </c>
      <c r="I35" s="11">
        <f t="shared" si="1"/>
        <v>6324.9999999999991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 x14ac:dyDescent="0.2">
      <c r="A36" s="9">
        <v>124</v>
      </c>
      <c r="B36" s="5" t="s">
        <v>58</v>
      </c>
      <c r="C36" s="5" t="s">
        <v>59</v>
      </c>
      <c r="D36" s="10">
        <v>120</v>
      </c>
      <c r="E36" s="10">
        <v>120</v>
      </c>
      <c r="F36" s="10">
        <v>100</v>
      </c>
      <c r="G36" s="5">
        <f t="shared" si="0"/>
        <v>132</v>
      </c>
      <c r="H36" s="11">
        <f t="shared" si="2"/>
        <v>138</v>
      </c>
      <c r="I36" s="11">
        <f t="shared" si="1"/>
        <v>138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 x14ac:dyDescent="0.2">
      <c r="A37" s="9">
        <v>125</v>
      </c>
      <c r="B37" s="5" t="s">
        <v>60</v>
      </c>
      <c r="C37" s="5" t="s">
        <v>61</v>
      </c>
      <c r="D37" s="10">
        <v>600</v>
      </c>
      <c r="E37" s="10">
        <v>600</v>
      </c>
      <c r="F37" s="10">
        <v>500</v>
      </c>
      <c r="G37" s="5">
        <f t="shared" si="0"/>
        <v>660</v>
      </c>
      <c r="H37" s="11">
        <f t="shared" si="2"/>
        <v>690</v>
      </c>
      <c r="I37" s="11">
        <f t="shared" si="1"/>
        <v>690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 x14ac:dyDescent="0.2">
      <c r="A38" s="9">
        <v>126</v>
      </c>
      <c r="B38" s="5" t="s">
        <v>62</v>
      </c>
      <c r="C38" s="5" t="s">
        <v>63</v>
      </c>
      <c r="D38" s="10">
        <v>27500</v>
      </c>
      <c r="E38" s="10">
        <v>27500</v>
      </c>
      <c r="F38" s="10">
        <v>25000</v>
      </c>
      <c r="G38" s="5">
        <f t="shared" si="0"/>
        <v>30250.000000000004</v>
      </c>
      <c r="H38" s="11">
        <f t="shared" si="2"/>
        <v>31624.999999999996</v>
      </c>
      <c r="I38" s="11">
        <f t="shared" si="1"/>
        <v>31624.999999999996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 x14ac:dyDescent="0.2">
      <c r="A39" s="9">
        <v>127</v>
      </c>
      <c r="B39" s="5" t="s">
        <v>64</v>
      </c>
      <c r="C39" s="5" t="s">
        <v>65</v>
      </c>
      <c r="D39" s="10">
        <v>5500</v>
      </c>
      <c r="E39" s="10">
        <v>5500</v>
      </c>
      <c r="F39" s="10">
        <v>5000</v>
      </c>
      <c r="G39" s="5">
        <f t="shared" si="0"/>
        <v>6050.0000000000009</v>
      </c>
      <c r="H39" s="11">
        <f t="shared" si="2"/>
        <v>6324.9999999999991</v>
      </c>
      <c r="I39" s="11">
        <f t="shared" si="1"/>
        <v>6324.9999999999991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 x14ac:dyDescent="0.2">
      <c r="A40" s="5"/>
      <c r="B40" s="5"/>
      <c r="C40" s="5"/>
      <c r="D40" s="12">
        <v>1.1000000000000001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 x14ac:dyDescent="0.2">
      <c r="A43" s="19" t="s">
        <v>66</v>
      </c>
      <c r="B43" s="17"/>
      <c r="C43" s="17"/>
      <c r="D43" s="17"/>
      <c r="E43" s="7"/>
      <c r="F43" s="7"/>
      <c r="G43" s="7"/>
      <c r="H43" s="5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">
      <c r="A44" s="9">
        <v>200</v>
      </c>
      <c r="B44" s="5" t="s">
        <v>67</v>
      </c>
      <c r="C44" s="5" t="s">
        <v>68</v>
      </c>
      <c r="D44" s="10">
        <v>130</v>
      </c>
      <c r="E44" s="10">
        <v>130</v>
      </c>
      <c r="F44" s="10">
        <v>100</v>
      </c>
      <c r="G44" s="11">
        <f t="shared" ref="G44:G75" si="3">(D44)*(100%+10%)</f>
        <v>143</v>
      </c>
      <c r="H44" s="11">
        <f t="shared" ref="H44:H75" si="4">(D44)*(100%+15%)</f>
        <v>149.5</v>
      </c>
      <c r="I44" s="11">
        <f>((E44)*(100%+15%))*(100%+15%)</f>
        <v>171.92499999999998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 x14ac:dyDescent="0.2">
      <c r="A45" s="9">
        <v>201</v>
      </c>
      <c r="B45" s="5" t="s">
        <v>69</v>
      </c>
      <c r="C45" s="5" t="s">
        <v>70</v>
      </c>
      <c r="D45" s="10">
        <v>4908</v>
      </c>
      <c r="E45" s="10">
        <v>4910</v>
      </c>
      <c r="F45" s="10">
        <v>4090</v>
      </c>
      <c r="G45" s="11">
        <f t="shared" si="3"/>
        <v>5398.8</v>
      </c>
      <c r="H45" s="11">
        <f t="shared" si="4"/>
        <v>5644.2</v>
      </c>
      <c r="I45" s="11">
        <f>5647*(100%+15%)</f>
        <v>6494.0499999999993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 x14ac:dyDescent="0.2">
      <c r="A46" s="9">
        <v>202</v>
      </c>
      <c r="B46" s="5" t="s">
        <v>71</v>
      </c>
      <c r="C46" s="5" t="s">
        <v>72</v>
      </c>
      <c r="D46" s="10">
        <v>2544</v>
      </c>
      <c r="E46" s="10">
        <v>2550</v>
      </c>
      <c r="F46" s="10">
        <v>2120</v>
      </c>
      <c r="G46" s="11">
        <f t="shared" si="3"/>
        <v>2798.4</v>
      </c>
      <c r="H46" s="11">
        <f t="shared" si="4"/>
        <v>2925.6</v>
      </c>
      <c r="I46" s="11">
        <f>2926*(100%+15%)</f>
        <v>3364.8999999999996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 x14ac:dyDescent="0.2">
      <c r="A47" s="9">
        <v>203</v>
      </c>
      <c r="B47" s="5" t="s">
        <v>73</v>
      </c>
      <c r="C47" s="5" t="s">
        <v>74</v>
      </c>
      <c r="D47" s="10">
        <v>575</v>
      </c>
      <c r="E47" s="10">
        <v>580</v>
      </c>
      <c r="F47" s="10">
        <v>500</v>
      </c>
      <c r="G47" s="11">
        <f t="shared" si="3"/>
        <v>632.5</v>
      </c>
      <c r="H47" s="11">
        <f t="shared" si="4"/>
        <v>661.25</v>
      </c>
      <c r="I47" s="11">
        <f>661*(100%+15%)</f>
        <v>760.15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 x14ac:dyDescent="0.2">
      <c r="A48" s="9">
        <v>204</v>
      </c>
      <c r="B48" s="5" t="s">
        <v>75</v>
      </c>
      <c r="C48" s="5" t="s">
        <v>76</v>
      </c>
      <c r="D48" s="10">
        <v>480</v>
      </c>
      <c r="E48" s="10">
        <v>480</v>
      </c>
      <c r="F48" s="10">
        <v>400</v>
      </c>
      <c r="G48" s="11">
        <f t="shared" si="3"/>
        <v>528</v>
      </c>
      <c r="H48" s="11">
        <f t="shared" si="4"/>
        <v>552</v>
      </c>
      <c r="I48" s="11">
        <f>552*(100%+15%)</f>
        <v>634.79999999999995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 x14ac:dyDescent="0.2">
      <c r="A49" s="9">
        <v>205</v>
      </c>
      <c r="B49" s="5" t="s">
        <v>77</v>
      </c>
      <c r="C49" s="5" t="s">
        <v>78</v>
      </c>
      <c r="D49" s="10">
        <v>1185</v>
      </c>
      <c r="E49" s="10">
        <v>1190</v>
      </c>
      <c r="F49" s="10">
        <v>1030</v>
      </c>
      <c r="G49" s="11">
        <f t="shared" si="3"/>
        <v>1303.5</v>
      </c>
      <c r="H49" s="11">
        <f t="shared" si="4"/>
        <v>1362.75</v>
      </c>
      <c r="I49" s="11">
        <f>1363*(100%+15%)</f>
        <v>1567.4499999999998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 x14ac:dyDescent="0.2">
      <c r="A50" s="9">
        <v>206</v>
      </c>
      <c r="B50" s="5" t="s">
        <v>79</v>
      </c>
      <c r="C50" s="5" t="s">
        <v>80</v>
      </c>
      <c r="D50" s="10">
        <v>3600</v>
      </c>
      <c r="E50" s="10">
        <v>3600</v>
      </c>
      <c r="F50" s="10">
        <v>3130</v>
      </c>
      <c r="G50" s="11">
        <f t="shared" si="3"/>
        <v>3960.0000000000005</v>
      </c>
      <c r="H50" s="11">
        <f t="shared" si="4"/>
        <v>4140</v>
      </c>
      <c r="I50" s="11">
        <f>4140*(100%+15%)</f>
        <v>4761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2">
      <c r="A51" s="9">
        <v>207</v>
      </c>
      <c r="B51" s="5" t="s">
        <v>81</v>
      </c>
      <c r="C51" s="5" t="s">
        <v>82</v>
      </c>
      <c r="D51" s="10">
        <v>4842</v>
      </c>
      <c r="E51" s="10">
        <v>4840</v>
      </c>
      <c r="F51" s="10">
        <v>4210</v>
      </c>
      <c r="G51" s="11">
        <f t="shared" si="3"/>
        <v>5326.2000000000007</v>
      </c>
      <c r="H51" s="11">
        <f t="shared" si="4"/>
        <v>5568.2999999999993</v>
      </c>
      <c r="I51" s="11">
        <f>5568*(100%+15%)</f>
        <v>6403.2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2">
      <c r="A52" s="9">
        <v>208</v>
      </c>
      <c r="B52" s="5" t="s">
        <v>83</v>
      </c>
      <c r="C52" s="5" t="s">
        <v>84</v>
      </c>
      <c r="D52" s="10">
        <v>4635</v>
      </c>
      <c r="E52" s="10">
        <v>4640</v>
      </c>
      <c r="F52" s="10">
        <v>4030</v>
      </c>
      <c r="G52" s="11">
        <f t="shared" si="3"/>
        <v>5098.5</v>
      </c>
      <c r="H52" s="11">
        <f t="shared" si="4"/>
        <v>5330.25</v>
      </c>
      <c r="I52" s="11">
        <f>5330*(100%+15%)</f>
        <v>6129.4999999999991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2">
      <c r="A53" s="9">
        <v>209</v>
      </c>
      <c r="B53" s="5" t="s">
        <v>85</v>
      </c>
      <c r="C53" s="5" t="s">
        <v>86</v>
      </c>
      <c r="D53" s="10">
        <v>5808</v>
      </c>
      <c r="E53" s="10">
        <v>5800</v>
      </c>
      <c r="F53" s="10">
        <v>5050</v>
      </c>
      <c r="G53" s="11">
        <f t="shared" si="3"/>
        <v>6388.8</v>
      </c>
      <c r="H53" s="11">
        <f t="shared" si="4"/>
        <v>6679.2</v>
      </c>
      <c r="I53" s="11">
        <f>6679*(100%+15%)</f>
        <v>7680.8499999999995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2">
      <c r="A54" s="9">
        <v>210</v>
      </c>
      <c r="B54" s="5" t="s">
        <v>87</v>
      </c>
      <c r="C54" s="5" t="s">
        <v>88</v>
      </c>
      <c r="D54" s="10">
        <v>4796</v>
      </c>
      <c r="E54" s="10">
        <v>4790</v>
      </c>
      <c r="F54" s="10">
        <v>4170</v>
      </c>
      <c r="G54" s="11">
        <f t="shared" si="3"/>
        <v>5275.6</v>
      </c>
      <c r="H54" s="11">
        <f t="shared" si="4"/>
        <v>5515.4</v>
      </c>
      <c r="I54" s="11">
        <f>5515*(100%+15%)</f>
        <v>6342.2499999999991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2">
      <c r="A55" s="9">
        <v>211</v>
      </c>
      <c r="B55" s="5" t="s">
        <v>89</v>
      </c>
      <c r="C55" s="5" t="s">
        <v>90</v>
      </c>
      <c r="D55" s="10">
        <v>5727</v>
      </c>
      <c r="E55" s="10">
        <v>5730</v>
      </c>
      <c r="F55" s="10">
        <v>4980</v>
      </c>
      <c r="G55" s="11">
        <f t="shared" si="3"/>
        <v>6299.7000000000007</v>
      </c>
      <c r="H55" s="11">
        <f t="shared" si="4"/>
        <v>6586.0499999999993</v>
      </c>
      <c r="I55" s="11">
        <f>6586*(100%+15%)</f>
        <v>7573.9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2">
      <c r="A56" s="9">
        <v>212</v>
      </c>
      <c r="B56" s="5" t="s">
        <v>91</v>
      </c>
      <c r="C56" s="5" t="s">
        <v>92</v>
      </c>
      <c r="D56" s="10">
        <v>9120</v>
      </c>
      <c r="E56" s="10">
        <v>9120</v>
      </c>
      <c r="F56" s="10">
        <v>7930</v>
      </c>
      <c r="G56" s="11">
        <f t="shared" si="3"/>
        <v>10032</v>
      </c>
      <c r="H56" s="11">
        <f t="shared" si="4"/>
        <v>10488</v>
      </c>
      <c r="I56" s="11">
        <f>10488*(100%+15%)</f>
        <v>12061.199999999999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2">
      <c r="A57" s="9">
        <v>213</v>
      </c>
      <c r="B57" s="5" t="s">
        <v>93</v>
      </c>
      <c r="C57" s="5" t="s">
        <v>94</v>
      </c>
      <c r="D57" s="10">
        <v>5877</v>
      </c>
      <c r="E57" s="10">
        <v>5880</v>
      </c>
      <c r="F57" s="10">
        <v>5110</v>
      </c>
      <c r="G57" s="11">
        <f t="shared" si="3"/>
        <v>6464.7000000000007</v>
      </c>
      <c r="H57" s="11">
        <f t="shared" si="4"/>
        <v>6758.5499999999993</v>
      </c>
      <c r="I57" s="11">
        <f>6759*(100%+15%)</f>
        <v>7772.8499999999995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2">
      <c r="A58" s="9">
        <v>214</v>
      </c>
      <c r="B58" s="5" t="s">
        <v>95</v>
      </c>
      <c r="C58" s="5" t="s">
        <v>96</v>
      </c>
      <c r="D58" s="10">
        <v>3416</v>
      </c>
      <c r="E58" s="10">
        <v>3420</v>
      </c>
      <c r="F58" s="10">
        <v>2970</v>
      </c>
      <c r="G58" s="11">
        <f t="shared" si="3"/>
        <v>3757.6000000000004</v>
      </c>
      <c r="H58" s="11">
        <f t="shared" si="4"/>
        <v>3928.3999999999996</v>
      </c>
      <c r="I58" s="11">
        <f>3928*(100%+15%)</f>
        <v>4517.2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2">
      <c r="A59" s="9">
        <v>215</v>
      </c>
      <c r="B59" s="5" t="s">
        <v>97</v>
      </c>
      <c r="C59" s="5" t="s">
        <v>98</v>
      </c>
      <c r="D59" s="10">
        <v>8372</v>
      </c>
      <c r="E59" s="10">
        <v>8370</v>
      </c>
      <c r="F59" s="10">
        <v>7280</v>
      </c>
      <c r="G59" s="11">
        <f t="shared" si="3"/>
        <v>9209.2000000000007</v>
      </c>
      <c r="H59" s="11">
        <f t="shared" si="4"/>
        <v>9627.7999999999993</v>
      </c>
      <c r="I59" s="11">
        <f>9628*(100%+15%)</f>
        <v>11072.199999999999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2">
      <c r="A60" s="9">
        <v>216</v>
      </c>
      <c r="B60" s="5" t="s">
        <v>99</v>
      </c>
      <c r="C60" s="5" t="s">
        <v>100</v>
      </c>
      <c r="D60" s="10">
        <v>600</v>
      </c>
      <c r="E60" s="10">
        <v>600</v>
      </c>
      <c r="F60" s="10">
        <v>500</v>
      </c>
      <c r="G60" s="11">
        <f t="shared" si="3"/>
        <v>660</v>
      </c>
      <c r="H60" s="11">
        <f t="shared" si="4"/>
        <v>690</v>
      </c>
      <c r="I60" s="11">
        <f>690*(100%+15%)</f>
        <v>793.49999999999989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2">
      <c r="A61" s="9">
        <v>217</v>
      </c>
      <c r="B61" s="5" t="s">
        <v>101</v>
      </c>
      <c r="C61" s="5" t="s">
        <v>102</v>
      </c>
      <c r="D61" s="10">
        <v>2542</v>
      </c>
      <c r="E61" s="10">
        <v>2540</v>
      </c>
      <c r="F61" s="10">
        <v>2210</v>
      </c>
      <c r="G61" s="11">
        <f t="shared" si="3"/>
        <v>2796.2000000000003</v>
      </c>
      <c r="H61" s="11">
        <f t="shared" si="4"/>
        <v>2923.2999999999997</v>
      </c>
      <c r="I61" s="11">
        <f>2923*(100%+15%)</f>
        <v>3361.45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2">
      <c r="A62" s="9">
        <v>218</v>
      </c>
      <c r="B62" s="5" t="s">
        <v>103</v>
      </c>
      <c r="C62" s="5" t="s">
        <v>104</v>
      </c>
      <c r="D62" s="10">
        <v>600</v>
      </c>
      <c r="E62" s="10">
        <v>600</v>
      </c>
      <c r="F62" s="10">
        <v>500</v>
      </c>
      <c r="G62" s="11">
        <f t="shared" si="3"/>
        <v>660</v>
      </c>
      <c r="H62" s="11">
        <f t="shared" si="4"/>
        <v>690</v>
      </c>
      <c r="I62" s="11">
        <f>690*(100%+15%)</f>
        <v>793.49999999999989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2">
      <c r="A63" s="9">
        <v>219</v>
      </c>
      <c r="B63" s="5" t="s">
        <v>105</v>
      </c>
      <c r="C63" s="5" t="s">
        <v>106</v>
      </c>
      <c r="D63" s="10">
        <v>345</v>
      </c>
      <c r="E63" s="10">
        <v>350</v>
      </c>
      <c r="F63" s="10">
        <v>300</v>
      </c>
      <c r="G63" s="11">
        <f t="shared" si="3"/>
        <v>379.50000000000006</v>
      </c>
      <c r="H63" s="11">
        <f t="shared" si="4"/>
        <v>396.74999999999994</v>
      </c>
      <c r="I63" s="11">
        <f>397*(100%+15%)</f>
        <v>456.54999999999995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2">
      <c r="A64" s="9">
        <v>220</v>
      </c>
      <c r="B64" s="5" t="s">
        <v>107</v>
      </c>
      <c r="C64" s="5" t="s">
        <v>108</v>
      </c>
      <c r="D64" s="10">
        <v>1185</v>
      </c>
      <c r="E64" s="10">
        <v>1190</v>
      </c>
      <c r="F64" s="10">
        <v>1030</v>
      </c>
      <c r="G64" s="11">
        <f t="shared" si="3"/>
        <v>1303.5</v>
      </c>
      <c r="H64" s="11">
        <f t="shared" si="4"/>
        <v>1362.75</v>
      </c>
      <c r="I64" s="11">
        <f>1363*(100%+15%)</f>
        <v>1567.4499999999998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2">
      <c r="A65" s="9">
        <v>221</v>
      </c>
      <c r="B65" s="5" t="s">
        <v>109</v>
      </c>
      <c r="C65" s="5" t="s">
        <v>110</v>
      </c>
      <c r="D65" s="10">
        <v>2404</v>
      </c>
      <c r="E65" s="10">
        <v>2400</v>
      </c>
      <c r="F65" s="10">
        <v>2090</v>
      </c>
      <c r="G65" s="11">
        <f t="shared" si="3"/>
        <v>2644.4</v>
      </c>
      <c r="H65" s="11">
        <f t="shared" si="4"/>
        <v>2764.6</v>
      </c>
      <c r="I65" s="11">
        <f>2765*(100%+15%)</f>
        <v>3179.7499999999995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 x14ac:dyDescent="0.2">
      <c r="A66" s="9">
        <v>222</v>
      </c>
      <c r="B66" s="5" t="s">
        <v>111</v>
      </c>
      <c r="C66" s="5" t="s">
        <v>112</v>
      </c>
      <c r="D66" s="10">
        <v>1691</v>
      </c>
      <c r="E66" s="10">
        <v>1690</v>
      </c>
      <c r="F66" s="10">
        <v>1470</v>
      </c>
      <c r="G66" s="11">
        <f t="shared" si="3"/>
        <v>1860.1000000000001</v>
      </c>
      <c r="H66" s="11">
        <f t="shared" si="4"/>
        <v>1944.6499999999999</v>
      </c>
      <c r="I66" s="11">
        <f>1945*(100%+15%)</f>
        <v>2236.75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 x14ac:dyDescent="0.2">
      <c r="A67" s="9">
        <v>223</v>
      </c>
      <c r="B67" s="5" t="s">
        <v>113</v>
      </c>
      <c r="C67" s="5" t="s">
        <v>114</v>
      </c>
      <c r="D67" s="10">
        <v>587</v>
      </c>
      <c r="E67" s="10">
        <v>590</v>
      </c>
      <c r="F67" s="10">
        <v>510</v>
      </c>
      <c r="G67" s="11">
        <f t="shared" si="3"/>
        <v>645.70000000000005</v>
      </c>
      <c r="H67" s="11">
        <f t="shared" si="4"/>
        <v>675.05</v>
      </c>
      <c r="I67" s="11">
        <f>675*(100%+15%)</f>
        <v>776.24999999999989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 x14ac:dyDescent="0.2">
      <c r="A68" s="9">
        <v>224</v>
      </c>
      <c r="B68" s="5" t="s">
        <v>115</v>
      </c>
      <c r="C68" s="5" t="s">
        <v>116</v>
      </c>
      <c r="D68" s="10">
        <v>1771</v>
      </c>
      <c r="E68" s="10">
        <v>1770</v>
      </c>
      <c r="F68" s="10">
        <v>1540</v>
      </c>
      <c r="G68" s="11">
        <f t="shared" si="3"/>
        <v>1948.1000000000001</v>
      </c>
      <c r="H68" s="11">
        <f t="shared" si="4"/>
        <v>2036.6499999999999</v>
      </c>
      <c r="I68" s="11">
        <f>2037*(100%+15%)</f>
        <v>2342.5499999999997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 x14ac:dyDescent="0.2">
      <c r="A69" s="9">
        <v>225</v>
      </c>
      <c r="B69" s="5" t="s">
        <v>117</v>
      </c>
      <c r="C69" s="5" t="s">
        <v>118</v>
      </c>
      <c r="D69" s="10">
        <v>575</v>
      </c>
      <c r="E69" s="10">
        <v>580</v>
      </c>
      <c r="F69" s="10">
        <v>500</v>
      </c>
      <c r="G69" s="11">
        <f t="shared" si="3"/>
        <v>632.5</v>
      </c>
      <c r="H69" s="11">
        <f t="shared" si="4"/>
        <v>661.25</v>
      </c>
      <c r="I69" s="11">
        <f>661*(100%+15%)</f>
        <v>760.15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 x14ac:dyDescent="0.2">
      <c r="A70" s="9">
        <v>226</v>
      </c>
      <c r="B70" s="5" t="s">
        <v>119</v>
      </c>
      <c r="C70" s="5" t="s">
        <v>120</v>
      </c>
      <c r="D70" s="10">
        <v>575</v>
      </c>
      <c r="E70" s="10">
        <v>580</v>
      </c>
      <c r="F70" s="10">
        <v>500</v>
      </c>
      <c r="G70" s="11">
        <f t="shared" si="3"/>
        <v>632.5</v>
      </c>
      <c r="H70" s="11">
        <f t="shared" si="4"/>
        <v>661.25</v>
      </c>
      <c r="I70" s="11">
        <f>661*(100%+15%)</f>
        <v>760.15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 x14ac:dyDescent="0.2">
      <c r="A71" s="9">
        <v>227</v>
      </c>
      <c r="B71" s="5" t="s">
        <v>121</v>
      </c>
      <c r="C71" s="5" t="s">
        <v>122</v>
      </c>
      <c r="D71" s="10">
        <v>345</v>
      </c>
      <c r="E71" s="10">
        <v>350</v>
      </c>
      <c r="F71" s="10">
        <v>300</v>
      </c>
      <c r="G71" s="11">
        <f t="shared" si="3"/>
        <v>379.50000000000006</v>
      </c>
      <c r="H71" s="11">
        <f t="shared" si="4"/>
        <v>396.74999999999994</v>
      </c>
      <c r="I71" s="11">
        <f>397*(100%+15%)</f>
        <v>456.54999999999995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 x14ac:dyDescent="0.2">
      <c r="A72" s="9">
        <v>228</v>
      </c>
      <c r="B72" s="5" t="s">
        <v>123</v>
      </c>
      <c r="C72" s="5" t="s">
        <v>124</v>
      </c>
      <c r="D72" s="10">
        <v>587</v>
      </c>
      <c r="E72" s="10">
        <v>590</v>
      </c>
      <c r="F72" s="10">
        <v>510</v>
      </c>
      <c r="G72" s="11">
        <f t="shared" si="3"/>
        <v>645.70000000000005</v>
      </c>
      <c r="H72" s="11">
        <f t="shared" si="4"/>
        <v>675.05</v>
      </c>
      <c r="I72" s="11">
        <f>675*(100%+15%)</f>
        <v>776.24999999999989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 x14ac:dyDescent="0.2">
      <c r="A73" s="9">
        <v>229</v>
      </c>
      <c r="B73" s="5" t="s">
        <v>125</v>
      </c>
      <c r="C73" s="5" t="s">
        <v>126</v>
      </c>
      <c r="D73" s="10">
        <v>1139</v>
      </c>
      <c r="E73" s="10">
        <v>1140</v>
      </c>
      <c r="F73" s="10">
        <v>990</v>
      </c>
      <c r="G73" s="11">
        <f t="shared" si="3"/>
        <v>1252.9000000000001</v>
      </c>
      <c r="H73" s="11">
        <f t="shared" si="4"/>
        <v>1309.8499999999999</v>
      </c>
      <c r="I73" s="11">
        <f>1310*(100%+15%)</f>
        <v>1506.4999999999998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 x14ac:dyDescent="0.2">
      <c r="A74" s="9">
        <v>230</v>
      </c>
      <c r="B74" s="5" t="s">
        <v>127</v>
      </c>
      <c r="C74" s="5" t="s">
        <v>128</v>
      </c>
      <c r="D74" s="10">
        <v>1415</v>
      </c>
      <c r="E74" s="10">
        <v>1420</v>
      </c>
      <c r="F74" s="10">
        <v>1230</v>
      </c>
      <c r="G74" s="11">
        <f t="shared" si="3"/>
        <v>1556.5000000000002</v>
      </c>
      <c r="H74" s="11">
        <f t="shared" si="4"/>
        <v>1627.2499999999998</v>
      </c>
      <c r="I74" s="11">
        <f>1627*(100%+15%)</f>
        <v>1871.05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 x14ac:dyDescent="0.2">
      <c r="A75" s="9">
        <v>231</v>
      </c>
      <c r="B75" s="5" t="s">
        <v>129</v>
      </c>
      <c r="C75" s="5" t="s">
        <v>130</v>
      </c>
      <c r="D75" s="10">
        <v>1783</v>
      </c>
      <c r="E75" s="10">
        <v>1780</v>
      </c>
      <c r="F75" s="10">
        <v>1550</v>
      </c>
      <c r="G75" s="11">
        <f t="shared" si="3"/>
        <v>1961.3000000000002</v>
      </c>
      <c r="H75" s="11">
        <f t="shared" si="4"/>
        <v>2050.4499999999998</v>
      </c>
      <c r="I75" s="11">
        <f>2047*(100%+15%)</f>
        <v>2354.0499999999997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hidden="1" customHeight="1" x14ac:dyDescent="0.2">
      <c r="A76" s="9"/>
      <c r="B76" s="5"/>
      <c r="C76" s="5"/>
      <c r="D76" s="12">
        <v>1.1499999999999999</v>
      </c>
      <c r="E76" s="5"/>
      <c r="F76" s="5"/>
      <c r="G76" s="11"/>
      <c r="H76" s="11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hidden="1" customHeight="1" x14ac:dyDescent="0.2">
      <c r="A77" s="9"/>
      <c r="B77" s="5"/>
      <c r="C77" s="5"/>
      <c r="D77" s="5"/>
      <c r="E77" s="5"/>
      <c r="F77" s="5"/>
      <c r="G77" s="11"/>
      <c r="H77" s="11"/>
      <c r="I77" s="14">
        <f>100%+15%</f>
        <v>1.1499999999999999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x14ac:dyDescent="0.2">
      <c r="A78" s="9"/>
      <c r="B78" s="5"/>
      <c r="C78" s="5"/>
      <c r="D78" s="5"/>
      <c r="E78" s="5"/>
      <c r="F78" s="5"/>
      <c r="G78" s="11"/>
      <c r="H78" s="11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2">
      <c r="A79" s="19" t="s">
        <v>131</v>
      </c>
      <c r="B79" s="17"/>
      <c r="C79" s="17"/>
      <c r="D79" s="17"/>
      <c r="E79" s="7"/>
      <c r="F79" s="7"/>
      <c r="G79" s="13"/>
      <c r="H79" s="11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">
      <c r="A80" s="9">
        <v>300</v>
      </c>
      <c r="B80" s="5" t="s">
        <v>132</v>
      </c>
      <c r="C80" s="5" t="s">
        <v>133</v>
      </c>
      <c r="D80" s="10">
        <v>1150</v>
      </c>
      <c r="E80" s="10">
        <v>1150</v>
      </c>
      <c r="F80" s="10">
        <v>1000</v>
      </c>
      <c r="G80" s="11">
        <f t="shared" ref="G80:G129" si="5">(D80)*(100%+10%)</f>
        <v>1265</v>
      </c>
      <c r="H80" s="11">
        <f t="shared" ref="H80:H115" si="6">(D80)*(100%+15%)</f>
        <v>1322.5</v>
      </c>
      <c r="I80" s="11">
        <f>(1323)*(100%+10%)</f>
        <v>1455.3000000000002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 x14ac:dyDescent="0.2">
      <c r="A81" s="9">
        <v>301</v>
      </c>
      <c r="B81" s="5" t="s">
        <v>134</v>
      </c>
      <c r="C81" s="5" t="s">
        <v>135</v>
      </c>
      <c r="D81" s="10">
        <v>690</v>
      </c>
      <c r="E81" s="10">
        <v>690</v>
      </c>
      <c r="F81" s="10">
        <v>600</v>
      </c>
      <c r="G81" s="11">
        <f t="shared" si="5"/>
        <v>759.00000000000011</v>
      </c>
      <c r="H81" s="11">
        <f t="shared" si="6"/>
        <v>793.49999999999989</v>
      </c>
      <c r="I81" s="11">
        <f>794*(100%+10%)</f>
        <v>873.40000000000009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 x14ac:dyDescent="0.2">
      <c r="A82" s="9">
        <v>302</v>
      </c>
      <c r="B82" s="5" t="s">
        <v>136</v>
      </c>
      <c r="C82" s="5" t="s">
        <v>137</v>
      </c>
      <c r="D82" s="10">
        <v>1150</v>
      </c>
      <c r="E82" s="10">
        <v>1150</v>
      </c>
      <c r="F82" s="10">
        <v>1000</v>
      </c>
      <c r="G82" s="11">
        <f t="shared" si="5"/>
        <v>1265</v>
      </c>
      <c r="H82" s="11">
        <f t="shared" si="6"/>
        <v>1322.5</v>
      </c>
      <c r="I82" s="11">
        <f>1323*(100%+10%)</f>
        <v>1455.3000000000002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 x14ac:dyDescent="0.2">
      <c r="A83" s="9">
        <v>303</v>
      </c>
      <c r="B83" s="5" t="s">
        <v>138</v>
      </c>
      <c r="C83" s="5" t="s">
        <v>139</v>
      </c>
      <c r="D83" s="10">
        <v>2875</v>
      </c>
      <c r="E83" s="10">
        <v>2880</v>
      </c>
      <c r="F83" s="10">
        <v>2500</v>
      </c>
      <c r="G83" s="11">
        <f t="shared" si="5"/>
        <v>3162.5000000000005</v>
      </c>
      <c r="H83" s="11">
        <f t="shared" si="6"/>
        <v>3306.2499999999995</v>
      </c>
      <c r="I83" s="11">
        <f>3306*(100%+10%)</f>
        <v>3636.6000000000004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 x14ac:dyDescent="0.2">
      <c r="A84" s="9">
        <v>304</v>
      </c>
      <c r="B84" s="5" t="s">
        <v>140</v>
      </c>
      <c r="C84" s="5" t="s">
        <v>141</v>
      </c>
      <c r="D84" s="10">
        <v>4025</v>
      </c>
      <c r="E84" s="10">
        <v>4030</v>
      </c>
      <c r="F84" s="10">
        <v>3500</v>
      </c>
      <c r="G84" s="11">
        <f t="shared" si="5"/>
        <v>4427.5</v>
      </c>
      <c r="H84" s="11">
        <f t="shared" si="6"/>
        <v>4628.75</v>
      </c>
      <c r="I84" s="11">
        <f>4629*(100%+10%)</f>
        <v>5091.9000000000005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 x14ac:dyDescent="0.2">
      <c r="A85" s="9">
        <v>305</v>
      </c>
      <c r="B85" s="5" t="s">
        <v>142</v>
      </c>
      <c r="C85" s="5" t="s">
        <v>143</v>
      </c>
      <c r="D85" s="10">
        <v>4600</v>
      </c>
      <c r="E85" s="10">
        <v>4600</v>
      </c>
      <c r="F85" s="10">
        <v>4000</v>
      </c>
      <c r="G85" s="11">
        <f t="shared" si="5"/>
        <v>5060</v>
      </c>
      <c r="H85" s="11">
        <f t="shared" si="6"/>
        <v>5290</v>
      </c>
      <c r="I85" s="11">
        <f>5290*(100%+10%)</f>
        <v>5819.0000000000009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 x14ac:dyDescent="0.2">
      <c r="A86" s="9">
        <v>306</v>
      </c>
      <c r="B86" s="5" t="s">
        <v>144</v>
      </c>
      <c r="C86" s="5" t="s">
        <v>145</v>
      </c>
      <c r="D86" s="10">
        <v>5750</v>
      </c>
      <c r="E86" s="10">
        <v>5750</v>
      </c>
      <c r="F86" s="10">
        <v>5000</v>
      </c>
      <c r="G86" s="11">
        <f t="shared" si="5"/>
        <v>6325.0000000000009</v>
      </c>
      <c r="H86" s="11">
        <f t="shared" si="6"/>
        <v>6612.4999999999991</v>
      </c>
      <c r="I86" s="11">
        <f>6613*(100%+10%)</f>
        <v>7274.3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2">
      <c r="A87" s="9">
        <v>307</v>
      </c>
      <c r="B87" s="5" t="s">
        <v>146</v>
      </c>
      <c r="C87" s="5" t="s">
        <v>147</v>
      </c>
      <c r="D87" s="10">
        <v>1817</v>
      </c>
      <c r="E87" s="10">
        <v>1820</v>
      </c>
      <c r="F87" s="10">
        <v>1580</v>
      </c>
      <c r="G87" s="11">
        <f t="shared" si="5"/>
        <v>1998.7000000000003</v>
      </c>
      <c r="H87" s="11">
        <f t="shared" si="6"/>
        <v>2089.5499999999997</v>
      </c>
      <c r="I87" s="11">
        <f>2090*(100%+10%)</f>
        <v>2299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2">
      <c r="A88" s="9">
        <v>308</v>
      </c>
      <c r="B88" s="5" t="s">
        <v>148</v>
      </c>
      <c r="C88" s="5" t="s">
        <v>149</v>
      </c>
      <c r="D88" s="10">
        <v>10005</v>
      </c>
      <c r="E88" s="10">
        <v>10000</v>
      </c>
      <c r="F88" s="10">
        <v>8700</v>
      </c>
      <c r="G88" s="11">
        <f t="shared" si="5"/>
        <v>11005.5</v>
      </c>
      <c r="H88" s="11">
        <f t="shared" si="6"/>
        <v>11505.75</v>
      </c>
      <c r="I88" s="11">
        <f>11506*(100%+10%)</f>
        <v>12656.6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2">
      <c r="A89" s="9">
        <v>309</v>
      </c>
      <c r="B89" s="5" t="s">
        <v>150</v>
      </c>
      <c r="C89" s="5" t="s">
        <v>151</v>
      </c>
      <c r="D89" s="10">
        <v>1242</v>
      </c>
      <c r="E89" s="10">
        <v>1240</v>
      </c>
      <c r="F89" s="10">
        <v>1080</v>
      </c>
      <c r="G89" s="11">
        <f t="shared" si="5"/>
        <v>1366.2</v>
      </c>
      <c r="H89" s="11">
        <f t="shared" si="6"/>
        <v>1428.3</v>
      </c>
      <c r="I89" s="11">
        <f>1428*(100%+10%)</f>
        <v>1570.8000000000002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2">
      <c r="A90" s="9">
        <v>310</v>
      </c>
      <c r="B90" s="5" t="s">
        <v>152</v>
      </c>
      <c r="C90" s="5" t="s">
        <v>153</v>
      </c>
      <c r="D90" s="10">
        <v>598</v>
      </c>
      <c r="E90" s="10">
        <v>600</v>
      </c>
      <c r="F90" s="10">
        <v>520</v>
      </c>
      <c r="G90" s="11">
        <f t="shared" si="5"/>
        <v>657.80000000000007</v>
      </c>
      <c r="H90" s="11">
        <f t="shared" si="6"/>
        <v>687.69999999999993</v>
      </c>
      <c r="I90" s="11">
        <f>688*(100%+10%)</f>
        <v>756.80000000000007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2">
      <c r="A91" s="9">
        <v>311</v>
      </c>
      <c r="B91" s="5" t="s">
        <v>154</v>
      </c>
      <c r="C91" s="5" t="s">
        <v>155</v>
      </c>
      <c r="D91" s="10">
        <v>1725</v>
      </c>
      <c r="E91" s="10">
        <v>1730</v>
      </c>
      <c r="F91" s="10">
        <v>1500</v>
      </c>
      <c r="G91" s="11">
        <f t="shared" si="5"/>
        <v>1897.5000000000002</v>
      </c>
      <c r="H91" s="11">
        <f t="shared" si="6"/>
        <v>1983.7499999999998</v>
      </c>
      <c r="I91" s="11">
        <f>1984*(100%+10%)</f>
        <v>2182.4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2">
      <c r="A92" s="9">
        <v>312</v>
      </c>
      <c r="B92" s="5" t="s">
        <v>156</v>
      </c>
      <c r="C92" s="5" t="s">
        <v>157</v>
      </c>
      <c r="D92" s="10">
        <v>1150</v>
      </c>
      <c r="E92" s="10">
        <v>1150</v>
      </c>
      <c r="F92" s="10">
        <v>1000</v>
      </c>
      <c r="G92" s="11">
        <f t="shared" si="5"/>
        <v>1265</v>
      </c>
      <c r="H92" s="11">
        <f t="shared" si="6"/>
        <v>1322.5</v>
      </c>
      <c r="I92" s="11">
        <f>1323*(100%+10%)</f>
        <v>1455.3000000000002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2">
      <c r="A93" s="9">
        <v>313</v>
      </c>
      <c r="B93" s="5" t="s">
        <v>158</v>
      </c>
      <c r="C93" s="5" t="s">
        <v>159</v>
      </c>
      <c r="D93" s="10">
        <v>1116</v>
      </c>
      <c r="E93" s="10">
        <v>1120</v>
      </c>
      <c r="F93" s="10">
        <v>970</v>
      </c>
      <c r="G93" s="11">
        <f t="shared" si="5"/>
        <v>1227.6000000000001</v>
      </c>
      <c r="H93" s="11">
        <f t="shared" si="6"/>
        <v>1283.3999999999999</v>
      </c>
      <c r="I93" s="11">
        <f>1283*(100%+10%)</f>
        <v>1411.3000000000002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2">
      <c r="A94" s="9">
        <v>314</v>
      </c>
      <c r="B94" s="5" t="s">
        <v>160</v>
      </c>
      <c r="C94" s="5" t="s">
        <v>161</v>
      </c>
      <c r="D94" s="10">
        <v>679</v>
      </c>
      <c r="E94" s="10">
        <v>680</v>
      </c>
      <c r="F94" s="10">
        <v>590</v>
      </c>
      <c r="G94" s="11">
        <f t="shared" si="5"/>
        <v>746.90000000000009</v>
      </c>
      <c r="H94" s="11">
        <f t="shared" si="6"/>
        <v>780.84999999999991</v>
      </c>
      <c r="I94" s="11">
        <f>781*(100%+10%)</f>
        <v>859.1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2">
      <c r="A95" s="9">
        <v>315</v>
      </c>
      <c r="B95" s="5" t="s">
        <v>162</v>
      </c>
      <c r="C95" s="5" t="s">
        <v>163</v>
      </c>
      <c r="D95" s="10">
        <v>1507</v>
      </c>
      <c r="E95" s="10">
        <v>1500</v>
      </c>
      <c r="F95" s="10">
        <v>1310</v>
      </c>
      <c r="G95" s="11">
        <f t="shared" si="5"/>
        <v>1657.7</v>
      </c>
      <c r="H95" s="11">
        <f t="shared" si="6"/>
        <v>1733.05</v>
      </c>
      <c r="I95" s="11">
        <f>1733*(100%+10%)</f>
        <v>1906.3000000000002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2">
      <c r="A96" s="9">
        <v>316</v>
      </c>
      <c r="B96" s="5" t="s">
        <v>164</v>
      </c>
      <c r="C96" s="5" t="s">
        <v>165</v>
      </c>
      <c r="D96" s="10">
        <v>1886</v>
      </c>
      <c r="E96" s="10">
        <v>1890</v>
      </c>
      <c r="F96" s="10">
        <v>1640</v>
      </c>
      <c r="G96" s="11">
        <f t="shared" si="5"/>
        <v>2074.6000000000004</v>
      </c>
      <c r="H96" s="11">
        <f t="shared" si="6"/>
        <v>2168.8999999999996</v>
      </c>
      <c r="I96" s="11">
        <f>2169*(100%+10%)</f>
        <v>2385.9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2">
      <c r="A97" s="9">
        <v>317</v>
      </c>
      <c r="B97" s="5" t="s">
        <v>166</v>
      </c>
      <c r="C97" s="5" t="s">
        <v>167</v>
      </c>
      <c r="D97" s="10">
        <v>2737</v>
      </c>
      <c r="E97" s="10">
        <v>2740</v>
      </c>
      <c r="F97" s="10">
        <v>2380</v>
      </c>
      <c r="G97" s="11">
        <f t="shared" si="5"/>
        <v>3010.7000000000003</v>
      </c>
      <c r="H97" s="11">
        <f t="shared" si="6"/>
        <v>3147.5499999999997</v>
      </c>
      <c r="I97" s="11">
        <f>3148*(100%+10%)</f>
        <v>3462.8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2">
      <c r="A98" s="9">
        <v>318</v>
      </c>
      <c r="B98" s="5" t="s">
        <v>168</v>
      </c>
      <c r="C98" s="5" t="s">
        <v>169</v>
      </c>
      <c r="D98" s="10">
        <v>2737</v>
      </c>
      <c r="E98" s="10">
        <v>2740</v>
      </c>
      <c r="F98" s="10">
        <v>2380</v>
      </c>
      <c r="G98" s="11">
        <f t="shared" si="5"/>
        <v>3010.7000000000003</v>
      </c>
      <c r="H98" s="11">
        <f t="shared" si="6"/>
        <v>3147.5499999999997</v>
      </c>
      <c r="I98" s="11">
        <f>3148*(100%+10%)</f>
        <v>3462.8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2">
      <c r="A99" s="9">
        <v>319</v>
      </c>
      <c r="B99" s="5" t="s">
        <v>170</v>
      </c>
      <c r="C99" s="5" t="s">
        <v>171</v>
      </c>
      <c r="D99" s="10">
        <v>2795</v>
      </c>
      <c r="E99" s="10">
        <v>2800</v>
      </c>
      <c r="F99" s="10">
        <v>2430</v>
      </c>
      <c r="G99" s="11">
        <f t="shared" si="5"/>
        <v>3074.5000000000005</v>
      </c>
      <c r="H99" s="11">
        <f t="shared" si="6"/>
        <v>3214.2499999999995</v>
      </c>
      <c r="I99" s="11">
        <f>3214*(100%+10%)</f>
        <v>3535.4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 x14ac:dyDescent="0.2">
      <c r="A100" s="9">
        <v>320</v>
      </c>
      <c r="B100" s="5" t="s">
        <v>172</v>
      </c>
      <c r="C100" s="5" t="s">
        <v>173</v>
      </c>
      <c r="D100" s="10">
        <v>9200</v>
      </c>
      <c r="E100" s="10">
        <v>9200</v>
      </c>
      <c r="F100" s="10">
        <v>8000</v>
      </c>
      <c r="G100" s="11">
        <f t="shared" si="5"/>
        <v>10120</v>
      </c>
      <c r="H100" s="11">
        <f t="shared" si="6"/>
        <v>10580</v>
      </c>
      <c r="I100" s="11">
        <f>10580*(100%+10%)</f>
        <v>11638.000000000002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 x14ac:dyDescent="0.2">
      <c r="A101" s="9">
        <v>321</v>
      </c>
      <c r="B101" s="5" t="s">
        <v>174</v>
      </c>
      <c r="C101" s="5" t="s">
        <v>175</v>
      </c>
      <c r="D101" s="10">
        <v>1116</v>
      </c>
      <c r="E101" s="10">
        <v>1120</v>
      </c>
      <c r="F101" s="10">
        <v>970</v>
      </c>
      <c r="G101" s="11">
        <f t="shared" si="5"/>
        <v>1227.6000000000001</v>
      </c>
      <c r="H101" s="11">
        <f t="shared" si="6"/>
        <v>1283.3999999999999</v>
      </c>
      <c r="I101" s="11">
        <f>1283*(100%+10%)</f>
        <v>1411.3000000000002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 x14ac:dyDescent="0.2">
      <c r="A102" s="9">
        <v>322</v>
      </c>
      <c r="B102" s="5" t="s">
        <v>176</v>
      </c>
      <c r="C102" s="5" t="s">
        <v>177</v>
      </c>
      <c r="D102" s="10">
        <v>3600</v>
      </c>
      <c r="E102" s="10">
        <v>3600</v>
      </c>
      <c r="F102" s="10">
        <v>3130</v>
      </c>
      <c r="G102" s="11">
        <f t="shared" si="5"/>
        <v>3960.0000000000005</v>
      </c>
      <c r="H102" s="11">
        <f t="shared" si="6"/>
        <v>4140</v>
      </c>
      <c r="I102" s="11">
        <f>4140*(100%+10%)</f>
        <v>4554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 x14ac:dyDescent="0.2">
      <c r="A103" s="9">
        <v>323</v>
      </c>
      <c r="B103" s="5" t="s">
        <v>178</v>
      </c>
      <c r="C103" s="5" t="s">
        <v>179</v>
      </c>
      <c r="D103" s="10">
        <v>3002</v>
      </c>
      <c r="E103" s="10">
        <v>3000</v>
      </c>
      <c r="F103" s="10">
        <v>2610</v>
      </c>
      <c r="G103" s="11">
        <f t="shared" si="5"/>
        <v>3302.2000000000003</v>
      </c>
      <c r="H103" s="11">
        <f t="shared" si="6"/>
        <v>3452.2999999999997</v>
      </c>
      <c r="I103" s="11">
        <f>3452*(100%+10%)</f>
        <v>3797.2000000000003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 x14ac:dyDescent="0.2">
      <c r="A104" s="9">
        <v>324</v>
      </c>
      <c r="B104" s="5" t="s">
        <v>180</v>
      </c>
      <c r="C104" s="5" t="s">
        <v>181</v>
      </c>
      <c r="D104" s="10">
        <v>18757</v>
      </c>
      <c r="E104" s="10">
        <v>18750</v>
      </c>
      <c r="F104" s="10">
        <v>16310</v>
      </c>
      <c r="G104" s="11">
        <f t="shared" si="5"/>
        <v>20632.7</v>
      </c>
      <c r="H104" s="11">
        <f t="shared" si="6"/>
        <v>21570.55</v>
      </c>
      <c r="I104" s="11">
        <f>21571*(100%+10%)</f>
        <v>23728.100000000002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 x14ac:dyDescent="0.2">
      <c r="A105" s="9">
        <v>325</v>
      </c>
      <c r="B105" s="5" t="s">
        <v>182</v>
      </c>
      <c r="C105" s="5" t="s">
        <v>183</v>
      </c>
      <c r="D105" s="10">
        <v>13708</v>
      </c>
      <c r="E105" s="10">
        <v>13700</v>
      </c>
      <c r="F105" s="10">
        <v>11920</v>
      </c>
      <c r="G105" s="11">
        <f t="shared" si="5"/>
        <v>15078.800000000001</v>
      </c>
      <c r="H105" s="11">
        <f t="shared" si="6"/>
        <v>15764.199999999999</v>
      </c>
      <c r="I105" s="11">
        <f>15764*(100%+10%)</f>
        <v>17340.400000000001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 x14ac:dyDescent="0.2">
      <c r="A106" s="9">
        <v>326</v>
      </c>
      <c r="B106" s="5" t="s">
        <v>184</v>
      </c>
      <c r="C106" s="5" t="s">
        <v>185</v>
      </c>
      <c r="D106" s="10">
        <v>4888</v>
      </c>
      <c r="E106" s="10">
        <v>4890</v>
      </c>
      <c r="F106" s="10">
        <v>4250</v>
      </c>
      <c r="G106" s="11">
        <f t="shared" si="5"/>
        <v>5376.8</v>
      </c>
      <c r="H106" s="11">
        <f t="shared" si="6"/>
        <v>5621.2</v>
      </c>
      <c r="I106" s="11">
        <f>5621*(100%+10%)</f>
        <v>6183.1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 x14ac:dyDescent="0.2">
      <c r="A107" s="9">
        <v>327</v>
      </c>
      <c r="B107" s="5" t="s">
        <v>186</v>
      </c>
      <c r="C107" s="5" t="s">
        <v>187</v>
      </c>
      <c r="D107" s="10">
        <v>2795</v>
      </c>
      <c r="E107" s="10">
        <v>2800</v>
      </c>
      <c r="F107" s="10">
        <v>2430</v>
      </c>
      <c r="G107" s="11">
        <f t="shared" si="5"/>
        <v>3074.5000000000005</v>
      </c>
      <c r="H107" s="11">
        <f t="shared" si="6"/>
        <v>3214.2499999999995</v>
      </c>
      <c r="I107" s="11">
        <f>3214*(100%+10%)</f>
        <v>3535.4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 x14ac:dyDescent="0.2">
      <c r="A108" s="9">
        <v>328</v>
      </c>
      <c r="B108" s="5" t="s">
        <v>188</v>
      </c>
      <c r="C108" s="5" t="s">
        <v>189</v>
      </c>
      <c r="D108" s="10">
        <v>2300</v>
      </c>
      <c r="E108" s="10">
        <v>2300</v>
      </c>
      <c r="F108" s="10">
        <v>2000</v>
      </c>
      <c r="G108" s="11">
        <f t="shared" si="5"/>
        <v>2530</v>
      </c>
      <c r="H108" s="11">
        <f t="shared" si="6"/>
        <v>2645</v>
      </c>
      <c r="I108" s="11">
        <f>2645*(100%+10%)</f>
        <v>2909.5000000000005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 x14ac:dyDescent="0.2">
      <c r="A109" s="9">
        <v>329</v>
      </c>
      <c r="B109" s="5" t="s">
        <v>190</v>
      </c>
      <c r="C109" s="5" t="s">
        <v>191</v>
      </c>
      <c r="D109" s="10">
        <v>575</v>
      </c>
      <c r="E109" s="10">
        <v>580</v>
      </c>
      <c r="F109" s="10">
        <v>500</v>
      </c>
      <c r="G109" s="11">
        <f t="shared" si="5"/>
        <v>632.5</v>
      </c>
      <c r="H109" s="11">
        <f t="shared" si="6"/>
        <v>661.25</v>
      </c>
      <c r="I109" s="11">
        <f>661*(100%+10%)</f>
        <v>727.1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 x14ac:dyDescent="0.2">
      <c r="A110" s="9">
        <v>330</v>
      </c>
      <c r="B110" s="5" t="s">
        <v>192</v>
      </c>
      <c r="C110" s="5" t="s">
        <v>193</v>
      </c>
      <c r="D110" s="10">
        <v>460</v>
      </c>
      <c r="E110" s="10">
        <v>460</v>
      </c>
      <c r="F110" s="10">
        <v>400</v>
      </c>
      <c r="G110" s="11">
        <f t="shared" si="5"/>
        <v>506.00000000000006</v>
      </c>
      <c r="H110" s="11">
        <f t="shared" si="6"/>
        <v>529</v>
      </c>
      <c r="I110" s="11">
        <f>529*(100%+10%)</f>
        <v>581.90000000000009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 x14ac:dyDescent="0.2">
      <c r="A111" s="9">
        <v>331</v>
      </c>
      <c r="B111" s="5" t="s">
        <v>194</v>
      </c>
      <c r="C111" s="5" t="s">
        <v>195</v>
      </c>
      <c r="D111" s="10">
        <v>81</v>
      </c>
      <c r="E111" s="10">
        <v>80</v>
      </c>
      <c r="F111" s="10">
        <v>70</v>
      </c>
      <c r="G111" s="11">
        <f t="shared" si="5"/>
        <v>89.100000000000009</v>
      </c>
      <c r="H111" s="11">
        <f t="shared" si="6"/>
        <v>93.149999999999991</v>
      </c>
      <c r="I111" s="11">
        <f>93*(100%+10%)</f>
        <v>102.30000000000001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 x14ac:dyDescent="0.2">
      <c r="A112" s="9">
        <v>332</v>
      </c>
      <c r="B112" s="5" t="s">
        <v>196</v>
      </c>
      <c r="C112" s="5" t="s">
        <v>197</v>
      </c>
      <c r="D112" s="10">
        <v>115</v>
      </c>
      <c r="E112" s="10">
        <v>120</v>
      </c>
      <c r="F112" s="10">
        <v>100</v>
      </c>
      <c r="G112" s="11">
        <f t="shared" si="5"/>
        <v>126.50000000000001</v>
      </c>
      <c r="H112" s="11">
        <f t="shared" si="6"/>
        <v>132.25</v>
      </c>
      <c r="I112" s="11">
        <f>132*(100%+10%)</f>
        <v>145.20000000000002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 x14ac:dyDescent="0.2">
      <c r="A113" s="9">
        <v>333</v>
      </c>
      <c r="B113" s="5" t="s">
        <v>198</v>
      </c>
      <c r="C113" s="5" t="s">
        <v>199</v>
      </c>
      <c r="D113" s="10">
        <v>460</v>
      </c>
      <c r="E113" s="10">
        <v>460</v>
      </c>
      <c r="F113" s="10">
        <v>400</v>
      </c>
      <c r="G113" s="11">
        <f t="shared" si="5"/>
        <v>506.00000000000006</v>
      </c>
      <c r="H113" s="11">
        <f t="shared" si="6"/>
        <v>529</v>
      </c>
      <c r="I113" s="11">
        <f>529*(100%+10%)</f>
        <v>581.90000000000009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 x14ac:dyDescent="0.2">
      <c r="A114" s="9">
        <v>334</v>
      </c>
      <c r="B114" s="5" t="s">
        <v>200</v>
      </c>
      <c r="C114" s="5" t="s">
        <v>201</v>
      </c>
      <c r="D114" s="10">
        <v>460</v>
      </c>
      <c r="E114" s="10">
        <v>460</v>
      </c>
      <c r="F114" s="10">
        <v>400</v>
      </c>
      <c r="G114" s="11">
        <f t="shared" si="5"/>
        <v>506.00000000000006</v>
      </c>
      <c r="H114" s="11">
        <f t="shared" si="6"/>
        <v>529</v>
      </c>
      <c r="I114" s="11">
        <f>529*(100%+10%)</f>
        <v>581.90000000000009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 x14ac:dyDescent="0.2">
      <c r="A115" s="9">
        <v>335</v>
      </c>
      <c r="B115" s="5" t="s">
        <v>202</v>
      </c>
      <c r="C115" s="5" t="s">
        <v>203</v>
      </c>
      <c r="D115" s="10">
        <v>345</v>
      </c>
      <c r="E115" s="10">
        <v>350</v>
      </c>
      <c r="F115" s="10">
        <v>300</v>
      </c>
      <c r="G115" s="11">
        <f t="shared" si="5"/>
        <v>379.50000000000006</v>
      </c>
      <c r="H115" s="11">
        <f t="shared" si="6"/>
        <v>396.74999999999994</v>
      </c>
      <c r="I115" s="11">
        <f>397*(100%+10%)</f>
        <v>436.70000000000005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 x14ac:dyDescent="0.2">
      <c r="A116" s="9">
        <v>336</v>
      </c>
      <c r="B116" s="5" t="s">
        <v>204</v>
      </c>
      <c r="C116" s="5" t="s">
        <v>205</v>
      </c>
      <c r="D116" s="10">
        <v>22000</v>
      </c>
      <c r="E116" s="10">
        <v>22000</v>
      </c>
      <c r="F116" s="10">
        <v>22000</v>
      </c>
      <c r="G116" s="11">
        <f t="shared" si="5"/>
        <v>24200.000000000004</v>
      </c>
      <c r="H116" s="11">
        <v>22000</v>
      </c>
      <c r="I116" s="11">
        <f>22000*(100%+10%)</f>
        <v>24200.000000000004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 x14ac:dyDescent="0.2">
      <c r="A117" s="9">
        <v>337</v>
      </c>
      <c r="B117" s="5" t="s">
        <v>206</v>
      </c>
      <c r="C117" s="5" t="s">
        <v>207</v>
      </c>
      <c r="D117" s="10">
        <v>3784</v>
      </c>
      <c r="E117" s="10">
        <v>3780</v>
      </c>
      <c r="F117" s="10">
        <v>3290</v>
      </c>
      <c r="G117" s="11">
        <f t="shared" si="5"/>
        <v>4162.4000000000005</v>
      </c>
      <c r="H117" s="11">
        <v>3780</v>
      </c>
      <c r="I117" s="11">
        <f>3780*(100%+10%)</f>
        <v>4158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 x14ac:dyDescent="0.2">
      <c r="A118" s="9">
        <v>338</v>
      </c>
      <c r="B118" s="5" t="s">
        <v>208</v>
      </c>
      <c r="C118" s="5" t="s">
        <v>209</v>
      </c>
      <c r="D118" s="10">
        <v>15000</v>
      </c>
      <c r="E118" s="10">
        <v>15000</v>
      </c>
      <c r="F118" s="10">
        <v>15000</v>
      </c>
      <c r="G118" s="11">
        <f t="shared" si="5"/>
        <v>16500</v>
      </c>
      <c r="H118" s="11">
        <f>E118</f>
        <v>15000</v>
      </c>
      <c r="I118" s="11">
        <f>15000*(100%+10%)</f>
        <v>16500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 x14ac:dyDescent="0.2">
      <c r="A119" s="9">
        <v>339</v>
      </c>
      <c r="B119" s="5" t="s">
        <v>210</v>
      </c>
      <c r="C119" s="5" t="s">
        <v>211</v>
      </c>
      <c r="D119" s="10">
        <v>3140</v>
      </c>
      <c r="E119" s="10">
        <v>3140</v>
      </c>
      <c r="F119" s="10">
        <v>2730</v>
      </c>
      <c r="G119" s="11">
        <f t="shared" si="5"/>
        <v>3454.0000000000005</v>
      </c>
      <c r="H119" s="11">
        <f t="shared" ref="H119:H129" si="7">E119</f>
        <v>3140</v>
      </c>
      <c r="I119" s="11">
        <f>3140*(100%+10%)</f>
        <v>3454.0000000000005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 x14ac:dyDescent="0.2">
      <c r="A120" s="9">
        <v>340</v>
      </c>
      <c r="B120" s="5" t="s">
        <v>212</v>
      </c>
      <c r="C120" s="5" t="s">
        <v>213</v>
      </c>
      <c r="D120" s="10">
        <v>18596</v>
      </c>
      <c r="E120" s="10">
        <v>18600</v>
      </c>
      <c r="F120" s="10">
        <v>16170</v>
      </c>
      <c r="G120" s="11">
        <f t="shared" si="5"/>
        <v>20455.600000000002</v>
      </c>
      <c r="H120" s="11">
        <f t="shared" si="7"/>
        <v>18600</v>
      </c>
      <c r="I120" s="11">
        <f>18600*(100%+10%)</f>
        <v>20460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 x14ac:dyDescent="0.2">
      <c r="A121" s="9">
        <v>341</v>
      </c>
      <c r="B121" s="5" t="s">
        <v>214</v>
      </c>
      <c r="C121" s="5" t="s">
        <v>215</v>
      </c>
      <c r="D121" s="10">
        <v>28624</v>
      </c>
      <c r="E121" s="10">
        <v>28630</v>
      </c>
      <c r="F121" s="10">
        <v>24890</v>
      </c>
      <c r="G121" s="11">
        <f t="shared" si="5"/>
        <v>31486.400000000001</v>
      </c>
      <c r="H121" s="11">
        <f t="shared" si="7"/>
        <v>28630</v>
      </c>
      <c r="I121" s="11">
        <f>28630*(100%+10%)</f>
        <v>31493.000000000004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 x14ac:dyDescent="0.2">
      <c r="A122" s="9">
        <v>342</v>
      </c>
      <c r="B122" s="5" t="s">
        <v>216</v>
      </c>
      <c r="C122" s="5" t="s">
        <v>217</v>
      </c>
      <c r="D122" s="10">
        <v>28750</v>
      </c>
      <c r="E122" s="10">
        <v>28750</v>
      </c>
      <c r="F122" s="10">
        <v>25000</v>
      </c>
      <c r="G122" s="11">
        <f t="shared" si="5"/>
        <v>31625.000000000004</v>
      </c>
      <c r="H122" s="11">
        <f t="shared" si="7"/>
        <v>28750</v>
      </c>
      <c r="I122" s="11">
        <f>28750*(100%+10%)</f>
        <v>31625.000000000004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 x14ac:dyDescent="0.2">
      <c r="A123" s="9">
        <v>343</v>
      </c>
      <c r="B123" s="5" t="s">
        <v>218</v>
      </c>
      <c r="C123" s="5" t="s">
        <v>219</v>
      </c>
      <c r="D123" s="10">
        <v>23000</v>
      </c>
      <c r="E123" s="10">
        <v>23000</v>
      </c>
      <c r="F123" s="10">
        <v>20000</v>
      </c>
      <c r="G123" s="11">
        <f t="shared" si="5"/>
        <v>25300.000000000004</v>
      </c>
      <c r="H123" s="11">
        <f t="shared" si="7"/>
        <v>23000</v>
      </c>
      <c r="I123" s="11">
        <f>23000*(100%+10%)</f>
        <v>25300.000000000004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 x14ac:dyDescent="0.2">
      <c r="A124" s="9">
        <v>344</v>
      </c>
      <c r="B124" s="5" t="s">
        <v>220</v>
      </c>
      <c r="C124" s="5" t="s">
        <v>221</v>
      </c>
      <c r="D124" s="10">
        <v>17158</v>
      </c>
      <c r="E124" s="10">
        <v>17150</v>
      </c>
      <c r="F124" s="10">
        <v>14920</v>
      </c>
      <c r="G124" s="11">
        <f t="shared" si="5"/>
        <v>18873.800000000003</v>
      </c>
      <c r="H124" s="11">
        <f t="shared" si="7"/>
        <v>17150</v>
      </c>
      <c r="I124" s="11">
        <f>17150*(100%+10%)</f>
        <v>18865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 x14ac:dyDescent="0.2">
      <c r="A125" s="9">
        <v>345</v>
      </c>
      <c r="B125" s="5" t="s">
        <v>222</v>
      </c>
      <c r="C125" s="5" t="s">
        <v>223</v>
      </c>
      <c r="D125" s="10">
        <v>19976</v>
      </c>
      <c r="E125" s="10">
        <v>19980</v>
      </c>
      <c r="F125" s="10">
        <v>17370</v>
      </c>
      <c r="G125" s="11">
        <f t="shared" si="5"/>
        <v>21973.600000000002</v>
      </c>
      <c r="H125" s="11">
        <f t="shared" si="7"/>
        <v>19980</v>
      </c>
      <c r="I125" s="11">
        <f>19980*(100%+10%)</f>
        <v>21978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 x14ac:dyDescent="0.2">
      <c r="A126" s="9">
        <v>346</v>
      </c>
      <c r="B126" s="5" t="s">
        <v>224</v>
      </c>
      <c r="C126" s="5" t="s">
        <v>225</v>
      </c>
      <c r="D126" s="10">
        <v>1909</v>
      </c>
      <c r="E126" s="10">
        <v>1900</v>
      </c>
      <c r="F126" s="10">
        <v>1660</v>
      </c>
      <c r="G126" s="11">
        <f t="shared" si="5"/>
        <v>2099.9</v>
      </c>
      <c r="H126" s="11">
        <f t="shared" si="7"/>
        <v>1900</v>
      </c>
      <c r="I126" s="11">
        <f>1900*(100%+10%)</f>
        <v>2090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 x14ac:dyDescent="0.2">
      <c r="A127" s="9">
        <v>347</v>
      </c>
      <c r="B127" s="5" t="s">
        <v>226</v>
      </c>
      <c r="C127" s="5" t="s">
        <v>227</v>
      </c>
      <c r="D127" s="10">
        <v>483</v>
      </c>
      <c r="E127" s="10">
        <v>490</v>
      </c>
      <c r="F127" s="10">
        <v>420</v>
      </c>
      <c r="G127" s="11">
        <f t="shared" si="5"/>
        <v>531.30000000000007</v>
      </c>
      <c r="H127" s="11">
        <f t="shared" si="7"/>
        <v>490</v>
      </c>
      <c r="I127" s="11">
        <f>490*(100%+10%)</f>
        <v>539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 x14ac:dyDescent="0.2">
      <c r="A128" s="9">
        <v>348</v>
      </c>
      <c r="B128" s="5" t="s">
        <v>228</v>
      </c>
      <c r="C128" s="5" t="s">
        <v>229</v>
      </c>
      <c r="D128" s="10">
        <v>656</v>
      </c>
      <c r="E128" s="10">
        <v>660</v>
      </c>
      <c r="F128" s="10">
        <v>570</v>
      </c>
      <c r="G128" s="11">
        <f t="shared" si="5"/>
        <v>721.6</v>
      </c>
      <c r="H128" s="11">
        <f t="shared" si="7"/>
        <v>660</v>
      </c>
      <c r="I128" s="11">
        <f>6600*(100%+10%)</f>
        <v>7260.0000000000009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 x14ac:dyDescent="0.2">
      <c r="A129" s="9">
        <v>349</v>
      </c>
      <c r="B129" s="5" t="s">
        <v>230</v>
      </c>
      <c r="C129" s="5" t="s">
        <v>231</v>
      </c>
      <c r="D129" s="10">
        <v>15801</v>
      </c>
      <c r="E129" s="10">
        <v>15800</v>
      </c>
      <c r="F129" s="10">
        <v>13740</v>
      </c>
      <c r="G129" s="11">
        <f t="shared" si="5"/>
        <v>17381.100000000002</v>
      </c>
      <c r="H129" s="11">
        <f t="shared" si="7"/>
        <v>15800</v>
      </c>
      <c r="I129" s="11">
        <f>15800*(100%+10%)</f>
        <v>17380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hidden="1" customHeight="1" x14ac:dyDescent="0.2">
      <c r="A130" s="5"/>
      <c r="B130" s="5"/>
      <c r="C130" s="5"/>
      <c r="D130" s="12">
        <v>1.1499999999999999</v>
      </c>
      <c r="E130" s="5"/>
      <c r="F130" s="5"/>
      <c r="G130" s="11"/>
      <c r="H130" s="11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hidden="1" customHeight="1" x14ac:dyDescent="0.2">
      <c r="A131" s="5"/>
      <c r="B131" s="5"/>
      <c r="C131" s="5"/>
      <c r="D131" s="5"/>
      <c r="E131" s="5"/>
      <c r="F131" s="5"/>
      <c r="G131" s="11"/>
      <c r="H131" s="11"/>
      <c r="I131" s="14">
        <f>100%+10%</f>
        <v>1.1000000000000001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2">
      <c r="A132" s="5"/>
      <c r="B132" s="5"/>
      <c r="C132" s="5"/>
      <c r="D132" s="5"/>
      <c r="E132" s="5"/>
      <c r="F132" s="5"/>
      <c r="G132" s="11"/>
      <c r="H132" s="11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2">
      <c r="A133" s="19" t="s">
        <v>232</v>
      </c>
      <c r="B133" s="17"/>
      <c r="C133" s="17"/>
      <c r="D133" s="17"/>
      <c r="E133" s="5"/>
      <c r="F133" s="5"/>
      <c r="G133" s="11"/>
      <c r="H133" s="11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 x14ac:dyDescent="0.2">
      <c r="A134" s="10">
        <v>400</v>
      </c>
      <c r="B134" s="5" t="s">
        <v>233</v>
      </c>
      <c r="C134" s="5" t="s">
        <v>234</v>
      </c>
      <c r="D134" s="10">
        <v>556</v>
      </c>
      <c r="E134" s="10">
        <v>560</v>
      </c>
      <c r="F134" s="10">
        <v>520</v>
      </c>
      <c r="G134" s="11">
        <f>((556)*(100%+10%))*(100%+10%)</f>
        <v>672.7600000000001</v>
      </c>
      <c r="H134" s="10">
        <f>E134</f>
        <v>560</v>
      </c>
      <c r="I134" s="10">
        <f>560*(100%+10%)</f>
        <v>616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 x14ac:dyDescent="0.2">
      <c r="A135" s="10">
        <v>401</v>
      </c>
      <c r="B135" s="5" t="s">
        <v>235</v>
      </c>
      <c r="C135" s="5" t="s">
        <v>236</v>
      </c>
      <c r="D135" s="10">
        <v>835</v>
      </c>
      <c r="E135" s="10">
        <v>840</v>
      </c>
      <c r="F135" s="10">
        <v>780</v>
      </c>
      <c r="G135" s="11">
        <f t="shared" ref="G135:G191" si="8">((D135)*(100%+10%))*(100%+10%)</f>
        <v>1010.3500000000003</v>
      </c>
      <c r="H135" s="10">
        <f t="shared" ref="H135:H191" si="9">E135</f>
        <v>840</v>
      </c>
      <c r="I135" s="10">
        <f>840*(100%+10%)</f>
        <v>924.00000000000011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 x14ac:dyDescent="0.2">
      <c r="A136" s="10">
        <v>402</v>
      </c>
      <c r="B136" s="5" t="s">
        <v>237</v>
      </c>
      <c r="C136" s="5" t="s">
        <v>238</v>
      </c>
      <c r="D136" s="10">
        <v>1038</v>
      </c>
      <c r="E136" s="10">
        <v>1040</v>
      </c>
      <c r="F136" s="10">
        <v>970</v>
      </c>
      <c r="G136" s="11">
        <f t="shared" si="8"/>
        <v>1255.9800000000002</v>
      </c>
      <c r="H136" s="10">
        <f t="shared" si="9"/>
        <v>1040</v>
      </c>
      <c r="I136" s="10">
        <f>1040*(100%+10%)</f>
        <v>1144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 x14ac:dyDescent="0.2">
      <c r="A137" s="10">
        <v>403</v>
      </c>
      <c r="B137" s="5" t="s">
        <v>239</v>
      </c>
      <c r="C137" s="5" t="s">
        <v>240</v>
      </c>
      <c r="D137" s="10">
        <v>631</v>
      </c>
      <c r="E137" s="10">
        <v>630</v>
      </c>
      <c r="F137" s="10">
        <v>590</v>
      </c>
      <c r="G137" s="11">
        <f t="shared" si="8"/>
        <v>763.5100000000001</v>
      </c>
      <c r="H137" s="10">
        <f t="shared" si="9"/>
        <v>630</v>
      </c>
      <c r="I137" s="10">
        <f>630*(100%+10%)</f>
        <v>693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 x14ac:dyDescent="0.2">
      <c r="A138" s="10">
        <v>404</v>
      </c>
      <c r="B138" s="5" t="s">
        <v>241</v>
      </c>
      <c r="C138" s="5" t="s">
        <v>242</v>
      </c>
      <c r="D138" s="10">
        <v>1284</v>
      </c>
      <c r="E138" s="10">
        <v>1290</v>
      </c>
      <c r="F138" s="10">
        <v>1200</v>
      </c>
      <c r="G138" s="11">
        <f t="shared" si="8"/>
        <v>1553.6400000000003</v>
      </c>
      <c r="H138" s="10">
        <f t="shared" si="9"/>
        <v>1290</v>
      </c>
      <c r="I138" s="10">
        <f>1290*(100%+10%)</f>
        <v>1419.0000000000002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 x14ac:dyDescent="0.2">
      <c r="A139" s="10">
        <v>405</v>
      </c>
      <c r="B139" s="5" t="s">
        <v>243</v>
      </c>
      <c r="C139" s="5" t="s">
        <v>244</v>
      </c>
      <c r="D139" s="10">
        <v>6420</v>
      </c>
      <c r="E139" s="10">
        <v>6420</v>
      </c>
      <c r="F139" s="10">
        <v>6000</v>
      </c>
      <c r="G139" s="11">
        <f t="shared" si="8"/>
        <v>7768.2000000000016</v>
      </c>
      <c r="H139" s="10">
        <f t="shared" si="9"/>
        <v>6420</v>
      </c>
      <c r="I139" s="10">
        <f>6420*(100%+10%)</f>
        <v>7062.0000000000009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 x14ac:dyDescent="0.2">
      <c r="A140" s="10">
        <v>406</v>
      </c>
      <c r="B140" s="5" t="s">
        <v>245</v>
      </c>
      <c r="C140" s="5" t="s">
        <v>246</v>
      </c>
      <c r="D140" s="10">
        <v>6420</v>
      </c>
      <c r="E140" s="10">
        <v>6420</v>
      </c>
      <c r="F140" s="10">
        <v>6000</v>
      </c>
      <c r="G140" s="11">
        <f t="shared" si="8"/>
        <v>7768.2000000000016</v>
      </c>
      <c r="H140" s="10">
        <f t="shared" si="9"/>
        <v>6420</v>
      </c>
      <c r="I140" s="10">
        <f>6000*(100%+10%)</f>
        <v>6600.0000000000009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 x14ac:dyDescent="0.2">
      <c r="A141" s="10">
        <v>407</v>
      </c>
      <c r="B141" s="5" t="s">
        <v>247</v>
      </c>
      <c r="C141" s="5" t="s">
        <v>248</v>
      </c>
      <c r="D141" s="10">
        <v>835</v>
      </c>
      <c r="E141" s="10">
        <v>840</v>
      </c>
      <c r="F141" s="10">
        <v>780</v>
      </c>
      <c r="G141" s="11">
        <f t="shared" si="8"/>
        <v>1010.3500000000003</v>
      </c>
      <c r="H141" s="10">
        <f t="shared" si="9"/>
        <v>840</v>
      </c>
      <c r="I141" s="10">
        <f>840*(100%+10%)</f>
        <v>924.00000000000011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 x14ac:dyDescent="0.2">
      <c r="A142" s="10">
        <v>408</v>
      </c>
      <c r="B142" s="5" t="s">
        <v>249</v>
      </c>
      <c r="C142" s="5" t="s">
        <v>250</v>
      </c>
      <c r="D142" s="10">
        <v>4237</v>
      </c>
      <c r="E142" s="10">
        <v>4240</v>
      </c>
      <c r="F142" s="10">
        <v>3960</v>
      </c>
      <c r="G142" s="11">
        <f t="shared" si="8"/>
        <v>5126.7700000000013</v>
      </c>
      <c r="H142" s="10">
        <f t="shared" si="9"/>
        <v>4240</v>
      </c>
      <c r="I142" s="10">
        <f>4240*(100%+10%)</f>
        <v>4664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 x14ac:dyDescent="0.2">
      <c r="A143" s="10">
        <v>409</v>
      </c>
      <c r="B143" s="5" t="s">
        <v>251</v>
      </c>
      <c r="C143" s="5" t="s">
        <v>252</v>
      </c>
      <c r="D143" s="10">
        <v>5553</v>
      </c>
      <c r="E143" s="10">
        <v>5550</v>
      </c>
      <c r="F143" s="10">
        <v>5190</v>
      </c>
      <c r="G143" s="11">
        <f t="shared" si="8"/>
        <v>6719.130000000001</v>
      </c>
      <c r="H143" s="10">
        <f t="shared" si="9"/>
        <v>5550</v>
      </c>
      <c r="I143" s="10">
        <f>5550*(100%+10%)</f>
        <v>6105.0000000000009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 x14ac:dyDescent="0.2">
      <c r="A144" s="10">
        <v>410</v>
      </c>
      <c r="B144" s="5" t="s">
        <v>253</v>
      </c>
      <c r="C144" s="5" t="s">
        <v>254</v>
      </c>
      <c r="D144" s="10">
        <v>4997</v>
      </c>
      <c r="E144" s="10">
        <v>4990</v>
      </c>
      <c r="F144" s="10">
        <v>4670</v>
      </c>
      <c r="G144" s="11">
        <f t="shared" si="8"/>
        <v>6046.3700000000017</v>
      </c>
      <c r="H144" s="10">
        <f t="shared" si="9"/>
        <v>4990</v>
      </c>
      <c r="I144" s="10">
        <f>4990*(100%+10%)</f>
        <v>5489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 x14ac:dyDescent="0.2">
      <c r="A145" s="10">
        <v>411</v>
      </c>
      <c r="B145" s="5" t="s">
        <v>255</v>
      </c>
      <c r="C145" s="5" t="s">
        <v>256</v>
      </c>
      <c r="D145" s="10">
        <v>9769</v>
      </c>
      <c r="E145" s="10">
        <v>9770</v>
      </c>
      <c r="F145" s="10">
        <v>9130</v>
      </c>
      <c r="G145" s="11">
        <f t="shared" si="8"/>
        <v>11820.490000000003</v>
      </c>
      <c r="H145" s="10">
        <f t="shared" si="9"/>
        <v>9770</v>
      </c>
      <c r="I145" s="10">
        <f>9770*(100%+10%)</f>
        <v>10747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 x14ac:dyDescent="0.2">
      <c r="A146" s="10">
        <v>412</v>
      </c>
      <c r="B146" s="5" t="s">
        <v>257</v>
      </c>
      <c r="C146" s="5" t="s">
        <v>258</v>
      </c>
      <c r="D146" s="10">
        <v>18693</v>
      </c>
      <c r="E146" s="10">
        <v>18690</v>
      </c>
      <c r="F146" s="10">
        <v>17470</v>
      </c>
      <c r="G146" s="11">
        <f t="shared" si="8"/>
        <v>22618.530000000006</v>
      </c>
      <c r="H146" s="10">
        <f t="shared" si="9"/>
        <v>18690</v>
      </c>
      <c r="I146" s="10">
        <f>18690*(100%+10%)</f>
        <v>20559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 x14ac:dyDescent="0.2">
      <c r="A147" s="10">
        <v>413</v>
      </c>
      <c r="B147" s="5" t="s">
        <v>259</v>
      </c>
      <c r="C147" s="5" t="s">
        <v>260</v>
      </c>
      <c r="D147" s="10">
        <v>17473</v>
      </c>
      <c r="E147" s="10">
        <v>17470</v>
      </c>
      <c r="F147" s="10">
        <v>16330</v>
      </c>
      <c r="G147" s="11">
        <f t="shared" si="8"/>
        <v>21142.330000000005</v>
      </c>
      <c r="H147" s="10">
        <f t="shared" si="9"/>
        <v>17470</v>
      </c>
      <c r="I147" s="10">
        <f>17470*(100%+10%)</f>
        <v>19217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 x14ac:dyDescent="0.2">
      <c r="A148" s="10">
        <v>414</v>
      </c>
      <c r="B148" s="5" t="s">
        <v>261</v>
      </c>
      <c r="C148" s="5" t="s">
        <v>262</v>
      </c>
      <c r="D148" s="10">
        <v>4034</v>
      </c>
      <c r="E148" s="10">
        <v>4040</v>
      </c>
      <c r="F148" s="10">
        <v>3770</v>
      </c>
      <c r="G148" s="11">
        <f t="shared" si="8"/>
        <v>4881.1400000000012</v>
      </c>
      <c r="H148" s="10">
        <f t="shared" si="9"/>
        <v>4040</v>
      </c>
      <c r="I148" s="10">
        <f>4040*(100%+10%)</f>
        <v>4444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 x14ac:dyDescent="0.2">
      <c r="A149" s="10">
        <v>415</v>
      </c>
      <c r="B149" s="5" t="s">
        <v>263</v>
      </c>
      <c r="C149" s="5" t="s">
        <v>264</v>
      </c>
      <c r="D149" s="10">
        <v>6538</v>
      </c>
      <c r="E149" s="10">
        <v>6540</v>
      </c>
      <c r="F149" s="10">
        <v>6110</v>
      </c>
      <c r="G149" s="11">
        <f t="shared" si="8"/>
        <v>7910.9800000000005</v>
      </c>
      <c r="H149" s="10">
        <f t="shared" si="9"/>
        <v>6540</v>
      </c>
      <c r="I149" s="10">
        <f>6540*(100%+10%)</f>
        <v>7194.0000000000009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 x14ac:dyDescent="0.2">
      <c r="A150" s="10">
        <v>416</v>
      </c>
      <c r="B150" s="5" t="s">
        <v>265</v>
      </c>
      <c r="C150" s="5" t="s">
        <v>266</v>
      </c>
      <c r="D150" s="10">
        <v>1038</v>
      </c>
      <c r="E150" s="10">
        <v>1040</v>
      </c>
      <c r="F150" s="10">
        <v>970</v>
      </c>
      <c r="G150" s="11">
        <f t="shared" si="8"/>
        <v>1255.9800000000002</v>
      </c>
      <c r="H150" s="10">
        <f t="shared" si="9"/>
        <v>1040</v>
      </c>
      <c r="I150" s="10">
        <f>1040*(100%+10%)</f>
        <v>1144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 x14ac:dyDescent="0.2">
      <c r="A151" s="10">
        <v>417</v>
      </c>
      <c r="B151" s="5" t="s">
        <v>267</v>
      </c>
      <c r="C151" s="5" t="s">
        <v>268</v>
      </c>
      <c r="D151" s="10">
        <v>1594</v>
      </c>
      <c r="E151" s="10">
        <v>1590</v>
      </c>
      <c r="F151" s="10">
        <v>1490</v>
      </c>
      <c r="G151" s="11">
        <f t="shared" si="8"/>
        <v>1928.7400000000002</v>
      </c>
      <c r="H151" s="10">
        <f t="shared" si="9"/>
        <v>1590</v>
      </c>
      <c r="I151" s="10">
        <f>1590*(100%+10%)</f>
        <v>1749.0000000000002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 x14ac:dyDescent="0.2">
      <c r="A152" s="10">
        <v>418</v>
      </c>
      <c r="B152" s="5" t="s">
        <v>269</v>
      </c>
      <c r="C152" s="5" t="s">
        <v>270</v>
      </c>
      <c r="D152" s="10">
        <v>546</v>
      </c>
      <c r="E152" s="10">
        <v>550</v>
      </c>
      <c r="F152" s="10">
        <v>510</v>
      </c>
      <c r="G152" s="11">
        <f t="shared" si="8"/>
        <v>660.66000000000008</v>
      </c>
      <c r="H152" s="10">
        <f t="shared" si="9"/>
        <v>550</v>
      </c>
      <c r="I152" s="10">
        <f>550*(100%+10%)</f>
        <v>605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 x14ac:dyDescent="0.2">
      <c r="A153" s="10">
        <v>419</v>
      </c>
      <c r="B153" s="5" t="s">
        <v>271</v>
      </c>
      <c r="C153" s="5" t="s">
        <v>272</v>
      </c>
      <c r="D153" s="10">
        <v>9384</v>
      </c>
      <c r="E153" s="10">
        <v>9390</v>
      </c>
      <c r="F153" s="10">
        <v>8770</v>
      </c>
      <c r="G153" s="11">
        <f t="shared" si="8"/>
        <v>11354.640000000003</v>
      </c>
      <c r="H153" s="10">
        <f t="shared" si="9"/>
        <v>9390</v>
      </c>
      <c r="I153" s="10">
        <f>9393*(100%+10%)</f>
        <v>10332.300000000001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 x14ac:dyDescent="0.2">
      <c r="A154" s="10">
        <v>420</v>
      </c>
      <c r="B154" s="5" t="s">
        <v>273</v>
      </c>
      <c r="C154" s="5" t="s">
        <v>274</v>
      </c>
      <c r="D154" s="10">
        <v>21389</v>
      </c>
      <c r="E154" s="10">
        <v>21390</v>
      </c>
      <c r="F154" s="10">
        <v>19990</v>
      </c>
      <c r="G154" s="11">
        <f t="shared" si="8"/>
        <v>25880.690000000002</v>
      </c>
      <c r="H154" s="10">
        <f t="shared" si="9"/>
        <v>21390</v>
      </c>
      <c r="I154" s="10">
        <f>21390*(100%+10%)</f>
        <v>23529.000000000004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 x14ac:dyDescent="0.2">
      <c r="A155" s="10">
        <v>421</v>
      </c>
      <c r="B155" s="5" t="s">
        <v>275</v>
      </c>
      <c r="C155" s="5" t="s">
        <v>276</v>
      </c>
      <c r="D155" s="10">
        <v>24781</v>
      </c>
      <c r="E155" s="10">
        <v>24780</v>
      </c>
      <c r="F155" s="10">
        <v>23160</v>
      </c>
      <c r="G155" s="11">
        <f t="shared" si="8"/>
        <v>29985.010000000006</v>
      </c>
      <c r="H155" s="10">
        <f t="shared" si="9"/>
        <v>24780</v>
      </c>
      <c r="I155" s="10">
        <f>24780*(100%+10%)</f>
        <v>27258.000000000004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 x14ac:dyDescent="0.2">
      <c r="A156" s="10">
        <v>422</v>
      </c>
      <c r="B156" s="5" t="s">
        <v>277</v>
      </c>
      <c r="C156" s="5" t="s">
        <v>278</v>
      </c>
      <c r="D156" s="10">
        <v>16767</v>
      </c>
      <c r="E156" s="10">
        <v>16770</v>
      </c>
      <c r="F156" s="10">
        <v>15670</v>
      </c>
      <c r="G156" s="11">
        <f t="shared" si="8"/>
        <v>20288.070000000003</v>
      </c>
      <c r="H156" s="10">
        <f t="shared" si="9"/>
        <v>16770</v>
      </c>
      <c r="I156" s="10">
        <f>16770*(100%+10%)</f>
        <v>18447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 x14ac:dyDescent="0.2">
      <c r="A157" s="10">
        <v>423</v>
      </c>
      <c r="B157" s="5" t="s">
        <v>279</v>
      </c>
      <c r="C157" s="5" t="s">
        <v>280</v>
      </c>
      <c r="D157" s="10">
        <v>32025</v>
      </c>
      <c r="E157" s="10">
        <v>32030</v>
      </c>
      <c r="F157" s="10">
        <v>29930</v>
      </c>
      <c r="G157" s="11">
        <f t="shared" si="8"/>
        <v>38750.25</v>
      </c>
      <c r="H157" s="10">
        <f t="shared" si="9"/>
        <v>32030</v>
      </c>
      <c r="I157" s="10">
        <f>32030*(100%+10%)</f>
        <v>35233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 x14ac:dyDescent="0.2">
      <c r="A158" s="10">
        <v>424</v>
      </c>
      <c r="B158" s="5" t="s">
        <v>281</v>
      </c>
      <c r="C158" s="5" t="s">
        <v>282</v>
      </c>
      <c r="D158" s="10">
        <v>14167</v>
      </c>
      <c r="E158" s="10">
        <v>14170</v>
      </c>
      <c r="F158" s="10">
        <v>13240</v>
      </c>
      <c r="G158" s="11">
        <f t="shared" si="8"/>
        <v>17142.070000000003</v>
      </c>
      <c r="H158" s="10">
        <f t="shared" si="9"/>
        <v>14170</v>
      </c>
      <c r="I158" s="10">
        <f>14170*(100%+10%)</f>
        <v>15587.000000000002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 x14ac:dyDescent="0.2">
      <c r="A159" s="10">
        <v>425</v>
      </c>
      <c r="B159" s="5" t="s">
        <v>283</v>
      </c>
      <c r="C159" s="5" t="s">
        <v>284</v>
      </c>
      <c r="D159" s="10">
        <v>36155</v>
      </c>
      <c r="E159" s="10">
        <v>36160</v>
      </c>
      <c r="F159" s="10">
        <v>33790</v>
      </c>
      <c r="G159" s="11">
        <f t="shared" si="8"/>
        <v>43747.55</v>
      </c>
      <c r="H159" s="10">
        <f t="shared" si="9"/>
        <v>36160</v>
      </c>
      <c r="I159" s="10">
        <f>36160*(100%+10%)</f>
        <v>39776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 x14ac:dyDescent="0.2">
      <c r="A160" s="10">
        <v>426</v>
      </c>
      <c r="B160" s="5" t="s">
        <v>285</v>
      </c>
      <c r="C160" s="5" t="s">
        <v>286</v>
      </c>
      <c r="D160" s="10">
        <v>36605</v>
      </c>
      <c r="E160" s="10">
        <v>36600</v>
      </c>
      <c r="F160" s="10">
        <v>34210</v>
      </c>
      <c r="G160" s="11">
        <f t="shared" si="8"/>
        <v>44292.05</v>
      </c>
      <c r="H160" s="10">
        <f t="shared" si="9"/>
        <v>36600</v>
      </c>
      <c r="I160" s="10">
        <f>36600*(100%+10%)</f>
        <v>40260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 x14ac:dyDescent="0.2">
      <c r="A161" s="10">
        <v>427</v>
      </c>
      <c r="B161" s="5" t="s">
        <v>287</v>
      </c>
      <c r="C161" s="5" t="s">
        <v>288</v>
      </c>
      <c r="D161" s="10">
        <v>36583</v>
      </c>
      <c r="E161" s="10">
        <v>36580</v>
      </c>
      <c r="F161" s="10">
        <v>34190</v>
      </c>
      <c r="G161" s="11">
        <f t="shared" si="8"/>
        <v>44265.430000000008</v>
      </c>
      <c r="H161" s="10">
        <f t="shared" si="9"/>
        <v>36580</v>
      </c>
      <c r="I161" s="10">
        <f>36580*(100%+10%)</f>
        <v>40238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 x14ac:dyDescent="0.2">
      <c r="A162" s="10">
        <v>428</v>
      </c>
      <c r="B162" s="5" t="s">
        <v>289</v>
      </c>
      <c r="C162" s="5" t="s">
        <v>290</v>
      </c>
      <c r="D162" s="10">
        <v>5746</v>
      </c>
      <c r="E162" s="10">
        <v>5750</v>
      </c>
      <c r="F162" s="10">
        <v>5370</v>
      </c>
      <c r="G162" s="11">
        <f t="shared" si="8"/>
        <v>6952.6600000000008</v>
      </c>
      <c r="H162" s="10">
        <f t="shared" si="9"/>
        <v>5750</v>
      </c>
      <c r="I162" s="10">
        <f>5750*(100%+10%)</f>
        <v>6325.0000000000009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 x14ac:dyDescent="0.2">
      <c r="A163" s="10">
        <v>429</v>
      </c>
      <c r="B163" s="5" t="s">
        <v>291</v>
      </c>
      <c r="C163" s="5" t="s">
        <v>292</v>
      </c>
      <c r="D163" s="10">
        <v>10604</v>
      </c>
      <c r="E163" s="10">
        <v>10600</v>
      </c>
      <c r="F163" s="10">
        <v>9910</v>
      </c>
      <c r="G163" s="11">
        <f t="shared" si="8"/>
        <v>12830.840000000002</v>
      </c>
      <c r="H163" s="10">
        <f t="shared" si="9"/>
        <v>10600</v>
      </c>
      <c r="I163" s="10">
        <f>10600*(100%+10%)</f>
        <v>11660.000000000002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2">
      <c r="A164" s="10">
        <v>430</v>
      </c>
      <c r="B164" s="5" t="s">
        <v>293</v>
      </c>
      <c r="C164" s="5" t="s">
        <v>294</v>
      </c>
      <c r="D164" s="10">
        <v>12722</v>
      </c>
      <c r="E164" s="10">
        <v>12730</v>
      </c>
      <c r="F164" s="10">
        <v>11890</v>
      </c>
      <c r="G164" s="11">
        <f t="shared" si="8"/>
        <v>15393.620000000003</v>
      </c>
      <c r="H164" s="10">
        <f t="shared" si="9"/>
        <v>12730</v>
      </c>
      <c r="I164" s="10">
        <f>12730*(100%+10%)</f>
        <v>14003.000000000002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2">
      <c r="A165" s="10">
        <v>431</v>
      </c>
      <c r="B165" s="5" t="s">
        <v>295</v>
      </c>
      <c r="C165" s="5" t="s">
        <v>296</v>
      </c>
      <c r="D165" s="10">
        <v>3841</v>
      </c>
      <c r="E165" s="10">
        <v>3840</v>
      </c>
      <c r="F165" s="10">
        <v>3590</v>
      </c>
      <c r="G165" s="11">
        <f t="shared" si="8"/>
        <v>4647.6100000000006</v>
      </c>
      <c r="H165" s="10">
        <f t="shared" si="9"/>
        <v>3840</v>
      </c>
      <c r="I165" s="10">
        <f>3840*(100%+10%)</f>
        <v>4224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2">
      <c r="A166" s="10">
        <v>432</v>
      </c>
      <c r="B166" s="5" t="s">
        <v>297</v>
      </c>
      <c r="C166" s="5" t="s">
        <v>298</v>
      </c>
      <c r="D166" s="10">
        <v>6409</v>
      </c>
      <c r="E166" s="10">
        <v>6410</v>
      </c>
      <c r="F166" s="10">
        <v>5990</v>
      </c>
      <c r="G166" s="11">
        <f t="shared" si="8"/>
        <v>7754.8900000000012</v>
      </c>
      <c r="H166" s="10">
        <f t="shared" si="9"/>
        <v>6410</v>
      </c>
      <c r="I166" s="10">
        <f>6410*(100%+10%)</f>
        <v>7051.0000000000009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2">
      <c r="A167" s="10">
        <v>433</v>
      </c>
      <c r="B167" s="5" t="s">
        <v>299</v>
      </c>
      <c r="C167" s="5" t="s">
        <v>300</v>
      </c>
      <c r="D167" s="10">
        <v>3360</v>
      </c>
      <c r="E167" s="10">
        <v>3360</v>
      </c>
      <c r="F167" s="10">
        <v>3140</v>
      </c>
      <c r="G167" s="11">
        <f t="shared" si="8"/>
        <v>4065.6000000000008</v>
      </c>
      <c r="H167" s="10">
        <f t="shared" si="9"/>
        <v>3360</v>
      </c>
      <c r="I167" s="10">
        <f>3360*(100%+10%)</f>
        <v>3696.0000000000005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2">
      <c r="A168" s="10">
        <v>434</v>
      </c>
      <c r="B168" s="5" t="s">
        <v>301</v>
      </c>
      <c r="C168" s="5" t="s">
        <v>302</v>
      </c>
      <c r="D168" s="10">
        <v>2579</v>
      </c>
      <c r="E168" s="10">
        <v>2580</v>
      </c>
      <c r="F168" s="10">
        <v>2410</v>
      </c>
      <c r="G168" s="11">
        <f t="shared" si="8"/>
        <v>3120.59</v>
      </c>
      <c r="H168" s="10">
        <f t="shared" si="9"/>
        <v>2580</v>
      </c>
      <c r="I168" s="10">
        <f>2580*(100%+10%)</f>
        <v>2838.0000000000005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2">
      <c r="A169" s="10">
        <v>435</v>
      </c>
      <c r="B169" s="5" t="s">
        <v>303</v>
      </c>
      <c r="C169" s="5" t="s">
        <v>304</v>
      </c>
      <c r="D169" s="10">
        <v>2975</v>
      </c>
      <c r="E169" s="10">
        <v>2980</v>
      </c>
      <c r="F169" s="10">
        <v>2780</v>
      </c>
      <c r="G169" s="11">
        <f t="shared" si="8"/>
        <v>3599.7500000000009</v>
      </c>
      <c r="H169" s="10">
        <f t="shared" si="9"/>
        <v>2980</v>
      </c>
      <c r="I169" s="10">
        <f>2980*(100%+10%)</f>
        <v>3278.0000000000005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2">
      <c r="A170" s="10">
        <v>436</v>
      </c>
      <c r="B170" s="5" t="s">
        <v>305</v>
      </c>
      <c r="C170" s="5" t="s">
        <v>306</v>
      </c>
      <c r="D170" s="10">
        <v>2771</v>
      </c>
      <c r="E170" s="10">
        <v>2780</v>
      </c>
      <c r="F170" s="10">
        <v>2590</v>
      </c>
      <c r="G170" s="11">
        <f t="shared" si="8"/>
        <v>3352.9100000000008</v>
      </c>
      <c r="H170" s="10">
        <f t="shared" si="9"/>
        <v>2780</v>
      </c>
      <c r="I170" s="10">
        <f>2780*(100%+10%)</f>
        <v>3058.0000000000005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2">
      <c r="A171" s="10">
        <v>437</v>
      </c>
      <c r="B171" s="5" t="s">
        <v>307</v>
      </c>
      <c r="C171" s="5" t="s">
        <v>308</v>
      </c>
      <c r="D171" s="10">
        <v>3574</v>
      </c>
      <c r="E171" s="10">
        <v>3580</v>
      </c>
      <c r="F171" s="10">
        <v>3340</v>
      </c>
      <c r="G171" s="11">
        <f t="shared" si="8"/>
        <v>4324.5400000000009</v>
      </c>
      <c r="H171" s="10">
        <f t="shared" si="9"/>
        <v>3580</v>
      </c>
      <c r="I171" s="10">
        <f>3580*(100%+10%)</f>
        <v>3938.0000000000005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2">
      <c r="A172" s="10">
        <v>438</v>
      </c>
      <c r="B172" s="5" t="s">
        <v>309</v>
      </c>
      <c r="C172" s="5" t="s">
        <v>310</v>
      </c>
      <c r="D172" s="10">
        <v>2258</v>
      </c>
      <c r="E172" s="10">
        <v>2260</v>
      </c>
      <c r="F172" s="10">
        <v>2110</v>
      </c>
      <c r="G172" s="11">
        <f t="shared" si="8"/>
        <v>2732.1800000000003</v>
      </c>
      <c r="H172" s="10">
        <f t="shared" si="9"/>
        <v>2260</v>
      </c>
      <c r="I172" s="10">
        <f>2260*(100%+10%)</f>
        <v>2486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2">
      <c r="A173" s="10">
        <v>439</v>
      </c>
      <c r="B173" s="5" t="s">
        <v>311</v>
      </c>
      <c r="C173" s="5" t="s">
        <v>312</v>
      </c>
      <c r="D173" s="10">
        <v>29543</v>
      </c>
      <c r="E173" s="10">
        <v>29540</v>
      </c>
      <c r="F173" s="10">
        <v>27610</v>
      </c>
      <c r="G173" s="11">
        <f t="shared" si="8"/>
        <v>35747.030000000006</v>
      </c>
      <c r="H173" s="10">
        <f t="shared" si="9"/>
        <v>29540</v>
      </c>
      <c r="I173" s="10">
        <f>29540*(100%+10%)</f>
        <v>32494.000000000004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2">
      <c r="A174" s="10">
        <v>440</v>
      </c>
      <c r="B174" s="5" t="s">
        <v>313</v>
      </c>
      <c r="C174" s="5" t="s">
        <v>314</v>
      </c>
      <c r="D174" s="10">
        <v>33341</v>
      </c>
      <c r="E174" s="10">
        <v>33340</v>
      </c>
      <c r="F174" s="10">
        <v>31160</v>
      </c>
      <c r="G174" s="11">
        <f t="shared" si="8"/>
        <v>40342.610000000008</v>
      </c>
      <c r="H174" s="10">
        <f t="shared" si="9"/>
        <v>33340</v>
      </c>
      <c r="I174" s="10">
        <f>33340*(100%+10%)</f>
        <v>36674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2">
      <c r="A175" s="10">
        <v>441</v>
      </c>
      <c r="B175" s="5" t="s">
        <v>315</v>
      </c>
      <c r="C175" s="5" t="s">
        <v>316</v>
      </c>
      <c r="D175" s="10">
        <v>36669</v>
      </c>
      <c r="E175" s="10">
        <v>36660</v>
      </c>
      <c r="F175" s="10">
        <v>34270</v>
      </c>
      <c r="G175" s="11">
        <f t="shared" si="8"/>
        <v>44369.490000000005</v>
      </c>
      <c r="H175" s="10">
        <f t="shared" si="9"/>
        <v>36660</v>
      </c>
      <c r="I175" s="10">
        <f>36660*(100%+10%)</f>
        <v>40326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2">
      <c r="A176" s="10">
        <v>442</v>
      </c>
      <c r="B176" s="5" t="s">
        <v>317</v>
      </c>
      <c r="C176" s="5" t="s">
        <v>318</v>
      </c>
      <c r="D176" s="10">
        <v>44865</v>
      </c>
      <c r="E176" s="10">
        <v>44870</v>
      </c>
      <c r="F176" s="10">
        <v>41930</v>
      </c>
      <c r="G176" s="11">
        <f t="shared" si="8"/>
        <v>54286.650000000016</v>
      </c>
      <c r="H176" s="10">
        <f t="shared" si="9"/>
        <v>44870</v>
      </c>
      <c r="I176" s="10">
        <f>44870*(100%+10%)</f>
        <v>49357.000000000007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2">
      <c r="A177" s="10">
        <v>443</v>
      </c>
      <c r="B177" s="5" t="s">
        <v>319</v>
      </c>
      <c r="C177" s="5" t="s">
        <v>320</v>
      </c>
      <c r="D177" s="10">
        <v>42351</v>
      </c>
      <c r="E177" s="10">
        <v>42350</v>
      </c>
      <c r="F177" s="10">
        <v>39580</v>
      </c>
      <c r="G177" s="11">
        <f t="shared" si="8"/>
        <v>51244.710000000014</v>
      </c>
      <c r="H177" s="10">
        <f t="shared" si="9"/>
        <v>42350</v>
      </c>
      <c r="I177" s="10">
        <f>42350*(100%+10%)</f>
        <v>46585.000000000007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2">
      <c r="A178" s="10">
        <v>444</v>
      </c>
      <c r="B178" s="5" t="s">
        <v>321</v>
      </c>
      <c r="C178" s="5" t="s">
        <v>322</v>
      </c>
      <c r="D178" s="10">
        <v>37257</v>
      </c>
      <c r="E178" s="10">
        <v>37260</v>
      </c>
      <c r="F178" s="10">
        <v>34820</v>
      </c>
      <c r="G178" s="11">
        <f t="shared" si="8"/>
        <v>45080.970000000008</v>
      </c>
      <c r="H178" s="10">
        <f t="shared" si="9"/>
        <v>37260</v>
      </c>
      <c r="I178" s="10">
        <f>37260*(100%+10%)</f>
        <v>40986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2">
      <c r="A179" s="10">
        <v>445</v>
      </c>
      <c r="B179" s="5" t="s">
        <v>323</v>
      </c>
      <c r="C179" s="5" t="s">
        <v>324</v>
      </c>
      <c r="D179" s="10">
        <v>22652</v>
      </c>
      <c r="E179" s="10">
        <v>22650</v>
      </c>
      <c r="F179" s="10">
        <v>21170</v>
      </c>
      <c r="G179" s="11">
        <f t="shared" si="8"/>
        <v>27408.920000000002</v>
      </c>
      <c r="H179" s="10">
        <f t="shared" si="9"/>
        <v>22650</v>
      </c>
      <c r="I179" s="10">
        <f>22650*(100%+10%)</f>
        <v>24915.000000000004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2">
      <c r="A180" s="10">
        <v>446</v>
      </c>
      <c r="B180" s="5" t="s">
        <v>325</v>
      </c>
      <c r="C180" s="5" t="s">
        <v>326</v>
      </c>
      <c r="D180" s="10">
        <v>26418</v>
      </c>
      <c r="E180" s="10">
        <v>26420</v>
      </c>
      <c r="F180" s="10">
        <v>24690</v>
      </c>
      <c r="G180" s="11">
        <f t="shared" si="8"/>
        <v>31965.780000000006</v>
      </c>
      <c r="H180" s="10">
        <f t="shared" si="9"/>
        <v>26420</v>
      </c>
      <c r="I180" s="10">
        <f>26420*(100%+10%)</f>
        <v>29062.000000000004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2">
      <c r="A181" s="10">
        <v>447</v>
      </c>
      <c r="B181" s="5" t="s">
        <v>327</v>
      </c>
      <c r="C181" s="5" t="s">
        <v>328</v>
      </c>
      <c r="D181" s="10">
        <v>5692</v>
      </c>
      <c r="E181" s="10">
        <v>5690</v>
      </c>
      <c r="F181" s="10">
        <v>5320</v>
      </c>
      <c r="G181" s="11">
        <f t="shared" si="8"/>
        <v>6887.3200000000015</v>
      </c>
      <c r="H181" s="10">
        <f t="shared" si="9"/>
        <v>5690</v>
      </c>
      <c r="I181" s="10">
        <f>5690*(100%+10%)</f>
        <v>6259.0000000000009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2">
      <c r="A182" s="10">
        <v>448</v>
      </c>
      <c r="B182" s="5" t="s">
        <v>329</v>
      </c>
      <c r="C182" s="5" t="s">
        <v>330</v>
      </c>
      <c r="D182" s="10">
        <v>16788</v>
      </c>
      <c r="E182" s="10">
        <v>16790</v>
      </c>
      <c r="F182" s="10">
        <v>15690</v>
      </c>
      <c r="G182" s="11">
        <f t="shared" si="8"/>
        <v>20313.480000000003</v>
      </c>
      <c r="H182" s="10">
        <f t="shared" si="9"/>
        <v>16790</v>
      </c>
      <c r="I182" s="10">
        <f>16790*(100%+10%)</f>
        <v>18469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2">
      <c r="A183" s="10">
        <v>449</v>
      </c>
      <c r="B183" s="5" t="s">
        <v>331</v>
      </c>
      <c r="C183" s="5" t="s">
        <v>332</v>
      </c>
      <c r="D183" s="10">
        <v>17302</v>
      </c>
      <c r="E183" s="10">
        <v>17300</v>
      </c>
      <c r="F183" s="10">
        <v>16170</v>
      </c>
      <c r="G183" s="11">
        <f t="shared" si="8"/>
        <v>20935.420000000002</v>
      </c>
      <c r="H183" s="10">
        <f t="shared" si="9"/>
        <v>17300</v>
      </c>
      <c r="I183" s="10">
        <f>17300*(100%+10%)</f>
        <v>19030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2">
      <c r="A184" s="10">
        <v>450</v>
      </c>
      <c r="B184" s="5" t="s">
        <v>333</v>
      </c>
      <c r="C184" s="5" t="s">
        <v>334</v>
      </c>
      <c r="D184" s="10">
        <v>53307</v>
      </c>
      <c r="E184" s="10">
        <v>53300</v>
      </c>
      <c r="F184" s="10">
        <v>49820</v>
      </c>
      <c r="G184" s="11">
        <f t="shared" si="8"/>
        <v>64501.470000000008</v>
      </c>
      <c r="H184" s="10">
        <f t="shared" si="9"/>
        <v>53300</v>
      </c>
      <c r="I184" s="10">
        <f>53300*(100%+10%)</f>
        <v>58630.000000000007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2">
      <c r="A185" s="10">
        <v>451</v>
      </c>
      <c r="B185" s="5" t="s">
        <v>295</v>
      </c>
      <c r="C185" s="5" t="s">
        <v>335</v>
      </c>
      <c r="D185" s="10">
        <v>1466</v>
      </c>
      <c r="E185" s="10">
        <v>1470</v>
      </c>
      <c r="F185" s="10">
        <v>1370</v>
      </c>
      <c r="G185" s="11">
        <f t="shared" si="8"/>
        <v>1773.8600000000004</v>
      </c>
      <c r="H185" s="10">
        <f t="shared" si="9"/>
        <v>1470</v>
      </c>
      <c r="I185" s="10">
        <f>1470*(100%+10%)</f>
        <v>1617.0000000000002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2">
      <c r="A186" s="10">
        <v>452</v>
      </c>
      <c r="B186" s="5" t="s">
        <v>297</v>
      </c>
      <c r="C186" s="5" t="s">
        <v>336</v>
      </c>
      <c r="D186" s="10">
        <v>845</v>
      </c>
      <c r="E186" s="10">
        <v>850</v>
      </c>
      <c r="F186" s="10">
        <v>790</v>
      </c>
      <c r="G186" s="11">
        <f t="shared" si="8"/>
        <v>1022.4500000000002</v>
      </c>
      <c r="H186" s="10">
        <f t="shared" si="9"/>
        <v>850</v>
      </c>
      <c r="I186" s="10">
        <f>850*(100%+10%)</f>
        <v>935.00000000000011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2">
      <c r="A187" s="10">
        <v>453</v>
      </c>
      <c r="B187" s="5" t="s">
        <v>299</v>
      </c>
      <c r="C187" s="5" t="s">
        <v>337</v>
      </c>
      <c r="D187" s="10">
        <v>663</v>
      </c>
      <c r="E187" s="10">
        <v>670</v>
      </c>
      <c r="F187" s="10">
        <v>620</v>
      </c>
      <c r="G187" s="11">
        <f t="shared" si="8"/>
        <v>802.23000000000013</v>
      </c>
      <c r="H187" s="10">
        <f t="shared" si="9"/>
        <v>670</v>
      </c>
      <c r="I187" s="10">
        <f>670*(100%+10%)</f>
        <v>737.00000000000011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2">
      <c r="A188" s="10">
        <v>454</v>
      </c>
      <c r="B188" s="5" t="s">
        <v>301</v>
      </c>
      <c r="C188" s="5" t="s">
        <v>338</v>
      </c>
      <c r="D188" s="10">
        <v>781</v>
      </c>
      <c r="E188" s="10">
        <v>780</v>
      </c>
      <c r="F188" s="10">
        <v>730</v>
      </c>
      <c r="G188" s="11">
        <f t="shared" si="8"/>
        <v>945.0100000000001</v>
      </c>
      <c r="H188" s="10">
        <f t="shared" si="9"/>
        <v>780</v>
      </c>
      <c r="I188" s="10">
        <f>780*(100%+10%)</f>
        <v>858.00000000000011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2">
      <c r="A189" s="10">
        <v>455</v>
      </c>
      <c r="B189" s="5" t="s">
        <v>303</v>
      </c>
      <c r="C189" s="5" t="s">
        <v>339</v>
      </c>
      <c r="D189" s="10">
        <v>439</v>
      </c>
      <c r="E189" s="10">
        <v>440</v>
      </c>
      <c r="F189" s="10">
        <v>410</v>
      </c>
      <c r="G189" s="11">
        <f t="shared" si="8"/>
        <v>531.19000000000005</v>
      </c>
      <c r="H189" s="10">
        <f t="shared" si="9"/>
        <v>440</v>
      </c>
      <c r="I189" s="10">
        <f>440*(100%+10%)</f>
        <v>484.00000000000006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2">
      <c r="A190" s="10">
        <v>456</v>
      </c>
      <c r="B190" s="5" t="s">
        <v>340</v>
      </c>
      <c r="C190" s="5" t="s">
        <v>341</v>
      </c>
      <c r="D190" s="10">
        <v>3317</v>
      </c>
      <c r="E190" s="10">
        <v>3320</v>
      </c>
      <c r="F190" s="10">
        <v>3100</v>
      </c>
      <c r="G190" s="11">
        <f t="shared" si="8"/>
        <v>4013.5700000000006</v>
      </c>
      <c r="H190" s="10">
        <f t="shared" si="9"/>
        <v>3320</v>
      </c>
      <c r="I190" s="10">
        <f>3320*(100%+10%)</f>
        <v>3652.0000000000005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2">
      <c r="A191" s="10">
        <v>457</v>
      </c>
      <c r="B191" s="5" t="s">
        <v>342</v>
      </c>
      <c r="C191" s="5" t="s">
        <v>343</v>
      </c>
      <c r="D191" s="10">
        <v>7169</v>
      </c>
      <c r="E191" s="10">
        <v>7170</v>
      </c>
      <c r="F191" s="10">
        <v>6700</v>
      </c>
      <c r="G191" s="11">
        <f t="shared" si="8"/>
        <v>8674.4900000000016</v>
      </c>
      <c r="H191" s="10">
        <f t="shared" si="9"/>
        <v>7170</v>
      </c>
      <c r="I191" s="10">
        <f>7170*(100%+10%)</f>
        <v>7887.0000000000009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hidden="1" customHeight="1" x14ac:dyDescent="0.2">
      <c r="A192" s="5"/>
      <c r="B192" s="5"/>
      <c r="C192" s="5"/>
      <c r="D192" s="12">
        <v>1.07</v>
      </c>
      <c r="E192" s="5"/>
      <c r="F192" s="5"/>
      <c r="G192" s="11"/>
      <c r="H192" s="11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hidden="1" customHeight="1" x14ac:dyDescent="0.2">
      <c r="A193" s="19"/>
      <c r="B193" s="17"/>
      <c r="C193" s="17"/>
      <c r="D193" s="17"/>
      <c r="E193" s="5"/>
      <c r="F193" s="5"/>
      <c r="G193" s="11"/>
      <c r="H193" s="11"/>
      <c r="I193" s="14">
        <f>100%+10%</f>
        <v>1.1000000000000001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2">
      <c r="A194" s="5"/>
      <c r="B194" s="5"/>
      <c r="C194" s="5"/>
      <c r="D194" s="5"/>
      <c r="E194" s="5"/>
      <c r="F194" s="5"/>
      <c r="G194" s="11"/>
      <c r="H194" s="11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2">
      <c r="A195" s="19" t="s">
        <v>344</v>
      </c>
      <c r="B195" s="17"/>
      <c r="C195" s="17"/>
      <c r="D195" s="17"/>
      <c r="E195" s="7"/>
      <c r="F195" s="5"/>
      <c r="G195" s="13"/>
      <c r="H195" s="11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">
      <c r="A196" s="10">
        <v>600</v>
      </c>
      <c r="B196" s="5" t="s">
        <v>14</v>
      </c>
      <c r="C196" s="5" t="s">
        <v>15</v>
      </c>
      <c r="D196" s="10">
        <v>700</v>
      </c>
      <c r="E196" s="10">
        <v>700</v>
      </c>
      <c r="F196" s="10">
        <v>600</v>
      </c>
      <c r="G196" s="11">
        <f t="shared" ref="G196:G224" si="10">(D196)*(100%+10%)</f>
        <v>770.00000000000011</v>
      </c>
      <c r="H196" s="11">
        <v>800</v>
      </c>
      <c r="I196" s="11">
        <f>H196</f>
        <v>800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2">
      <c r="A197" s="10">
        <v>601</v>
      </c>
      <c r="B197" s="5" t="s">
        <v>16</v>
      </c>
      <c r="C197" s="5" t="s">
        <v>17</v>
      </c>
      <c r="D197" s="10">
        <v>350</v>
      </c>
      <c r="E197" s="10">
        <v>350</v>
      </c>
      <c r="F197" s="10">
        <v>300</v>
      </c>
      <c r="G197" s="11">
        <f t="shared" si="10"/>
        <v>385.00000000000006</v>
      </c>
      <c r="H197" s="11">
        <v>400</v>
      </c>
      <c r="I197" s="11">
        <f t="shared" ref="I197:I224" si="11">H197</f>
        <v>400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2">
      <c r="A198" s="10">
        <v>602</v>
      </c>
      <c r="B198" s="5" t="s">
        <v>345</v>
      </c>
      <c r="C198" s="5" t="s">
        <v>346</v>
      </c>
      <c r="D198" s="10">
        <v>600</v>
      </c>
      <c r="E198" s="10">
        <v>600</v>
      </c>
      <c r="F198" s="10">
        <v>500</v>
      </c>
      <c r="G198" s="11">
        <f t="shared" si="10"/>
        <v>660</v>
      </c>
      <c r="H198" s="11">
        <v>700</v>
      </c>
      <c r="I198" s="11">
        <f t="shared" si="11"/>
        <v>700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2">
      <c r="A199" s="10">
        <v>603</v>
      </c>
      <c r="B199" s="5" t="s">
        <v>18</v>
      </c>
      <c r="C199" s="5" t="s">
        <v>19</v>
      </c>
      <c r="D199" s="10">
        <v>600</v>
      </c>
      <c r="E199" s="10">
        <v>600</v>
      </c>
      <c r="F199" s="10">
        <v>500</v>
      </c>
      <c r="G199" s="11">
        <f t="shared" si="10"/>
        <v>660</v>
      </c>
      <c r="H199" s="11">
        <v>700</v>
      </c>
      <c r="I199" s="11">
        <f t="shared" si="11"/>
        <v>700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2">
      <c r="A200" s="10">
        <v>604</v>
      </c>
      <c r="B200" s="5" t="s">
        <v>26</v>
      </c>
      <c r="C200" s="5" t="s">
        <v>27</v>
      </c>
      <c r="D200" s="10">
        <v>700</v>
      </c>
      <c r="E200" s="10">
        <v>700</v>
      </c>
      <c r="F200" s="10">
        <v>600</v>
      </c>
      <c r="G200" s="11">
        <f t="shared" si="10"/>
        <v>770.00000000000011</v>
      </c>
      <c r="H200" s="11">
        <v>800</v>
      </c>
      <c r="I200" s="11">
        <f t="shared" si="11"/>
        <v>800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2">
      <c r="A201" s="10">
        <v>605</v>
      </c>
      <c r="B201" s="5" t="s">
        <v>28</v>
      </c>
      <c r="C201" s="5" t="s">
        <v>29</v>
      </c>
      <c r="D201" s="10">
        <v>350</v>
      </c>
      <c r="E201" s="10">
        <v>350</v>
      </c>
      <c r="F201" s="10">
        <v>300</v>
      </c>
      <c r="G201" s="11">
        <f t="shared" si="10"/>
        <v>385.00000000000006</v>
      </c>
      <c r="H201" s="11">
        <v>400</v>
      </c>
      <c r="I201" s="11">
        <f t="shared" si="11"/>
        <v>400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2">
      <c r="A202" s="10">
        <v>606</v>
      </c>
      <c r="B202" s="5" t="s">
        <v>347</v>
      </c>
      <c r="C202" s="5" t="s">
        <v>348</v>
      </c>
      <c r="D202" s="10">
        <v>600</v>
      </c>
      <c r="E202" s="10">
        <v>600</v>
      </c>
      <c r="F202" s="10">
        <v>500</v>
      </c>
      <c r="G202" s="11">
        <f t="shared" si="10"/>
        <v>660</v>
      </c>
      <c r="H202" s="11">
        <v>700</v>
      </c>
      <c r="I202" s="11">
        <f t="shared" si="11"/>
        <v>700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2">
      <c r="A203" s="10">
        <v>607</v>
      </c>
      <c r="B203" s="5" t="s">
        <v>349</v>
      </c>
      <c r="C203" s="5" t="s">
        <v>31</v>
      </c>
      <c r="D203" s="10">
        <v>600</v>
      </c>
      <c r="E203" s="10">
        <v>600</v>
      </c>
      <c r="F203" s="10">
        <v>500</v>
      </c>
      <c r="G203" s="11">
        <f t="shared" si="10"/>
        <v>660</v>
      </c>
      <c r="H203" s="11">
        <v>700</v>
      </c>
      <c r="I203" s="11">
        <f t="shared" si="11"/>
        <v>700</v>
      </c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2">
      <c r="A204" s="10">
        <v>608</v>
      </c>
      <c r="B204" s="5" t="s">
        <v>32</v>
      </c>
      <c r="C204" s="5" t="s">
        <v>33</v>
      </c>
      <c r="D204" s="10">
        <v>700</v>
      </c>
      <c r="E204" s="10">
        <v>700</v>
      </c>
      <c r="F204" s="10">
        <v>600</v>
      </c>
      <c r="G204" s="11">
        <f t="shared" si="10"/>
        <v>770.00000000000011</v>
      </c>
      <c r="H204" s="11">
        <v>800</v>
      </c>
      <c r="I204" s="11">
        <f t="shared" si="11"/>
        <v>800</v>
      </c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2">
      <c r="A205" s="10">
        <v>609</v>
      </c>
      <c r="B205" s="5" t="s">
        <v>34</v>
      </c>
      <c r="C205" s="5" t="s">
        <v>35</v>
      </c>
      <c r="D205" s="10">
        <v>350</v>
      </c>
      <c r="E205" s="10">
        <v>350</v>
      </c>
      <c r="F205" s="10">
        <v>300</v>
      </c>
      <c r="G205" s="11">
        <f t="shared" si="10"/>
        <v>385.00000000000006</v>
      </c>
      <c r="H205" s="11">
        <v>400</v>
      </c>
      <c r="I205" s="11">
        <f t="shared" si="11"/>
        <v>400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2">
      <c r="A206" s="10">
        <v>610</v>
      </c>
      <c r="B206" s="5" t="s">
        <v>350</v>
      </c>
      <c r="C206" s="5" t="s">
        <v>351</v>
      </c>
      <c r="D206" s="10">
        <v>600</v>
      </c>
      <c r="E206" s="10">
        <v>600</v>
      </c>
      <c r="F206" s="10">
        <v>500</v>
      </c>
      <c r="G206" s="11">
        <f t="shared" si="10"/>
        <v>660</v>
      </c>
      <c r="H206" s="11">
        <v>700</v>
      </c>
      <c r="I206" s="11">
        <f t="shared" si="11"/>
        <v>700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2">
      <c r="A207" s="10">
        <v>611</v>
      </c>
      <c r="B207" s="5" t="s">
        <v>352</v>
      </c>
      <c r="C207" s="5" t="s">
        <v>37</v>
      </c>
      <c r="D207" s="10">
        <v>600</v>
      </c>
      <c r="E207" s="10">
        <v>600</v>
      </c>
      <c r="F207" s="10">
        <v>500</v>
      </c>
      <c r="G207" s="11">
        <f t="shared" si="10"/>
        <v>660</v>
      </c>
      <c r="H207" s="11">
        <v>700</v>
      </c>
      <c r="I207" s="11">
        <f t="shared" si="11"/>
        <v>700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2">
      <c r="A208" s="10">
        <v>612</v>
      </c>
      <c r="B208" s="5" t="s">
        <v>60</v>
      </c>
      <c r="C208" s="5" t="s">
        <v>61</v>
      </c>
      <c r="D208" s="10">
        <v>600</v>
      </c>
      <c r="E208" s="10">
        <v>600</v>
      </c>
      <c r="F208" s="10">
        <v>500</v>
      </c>
      <c r="G208" s="11">
        <f t="shared" si="10"/>
        <v>660</v>
      </c>
      <c r="H208" s="11">
        <v>700</v>
      </c>
      <c r="I208" s="11">
        <f t="shared" si="11"/>
        <v>700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2">
      <c r="A209" s="10">
        <v>613</v>
      </c>
      <c r="B209" s="5" t="s">
        <v>353</v>
      </c>
      <c r="C209" s="5" t="s">
        <v>354</v>
      </c>
      <c r="D209" s="10">
        <v>2400</v>
      </c>
      <c r="E209" s="10">
        <v>2400</v>
      </c>
      <c r="F209" s="10">
        <v>2000</v>
      </c>
      <c r="G209" s="11">
        <f t="shared" si="10"/>
        <v>2640</v>
      </c>
      <c r="H209" s="11">
        <f t="shared" ref="H209:H224" si="12">(D209)*(100%+15%)</f>
        <v>2760</v>
      </c>
      <c r="I209" s="11">
        <f t="shared" si="11"/>
        <v>2760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2">
      <c r="A210" s="10">
        <v>614</v>
      </c>
      <c r="B210" s="5" t="s">
        <v>355</v>
      </c>
      <c r="C210" s="5" t="s">
        <v>356</v>
      </c>
      <c r="D210" s="10">
        <v>3600</v>
      </c>
      <c r="E210" s="10">
        <v>3600</v>
      </c>
      <c r="F210" s="10">
        <v>3000</v>
      </c>
      <c r="G210" s="11">
        <f t="shared" si="10"/>
        <v>3960.0000000000005</v>
      </c>
      <c r="H210" s="11">
        <f t="shared" si="12"/>
        <v>4140</v>
      </c>
      <c r="I210" s="11">
        <f t="shared" si="11"/>
        <v>4140</v>
      </c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2">
      <c r="A211" s="10">
        <v>615</v>
      </c>
      <c r="B211" s="5" t="s">
        <v>58</v>
      </c>
      <c r="C211" s="5" t="s">
        <v>59</v>
      </c>
      <c r="D211" s="10">
        <v>120</v>
      </c>
      <c r="E211" s="10">
        <v>120</v>
      </c>
      <c r="F211" s="10">
        <v>100</v>
      </c>
      <c r="G211" s="11">
        <f t="shared" si="10"/>
        <v>132</v>
      </c>
      <c r="H211" s="11">
        <f t="shared" si="12"/>
        <v>138</v>
      </c>
      <c r="I211" s="11">
        <f t="shared" si="11"/>
        <v>138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2">
      <c r="A212" s="10">
        <v>616</v>
      </c>
      <c r="B212" s="5" t="s">
        <v>67</v>
      </c>
      <c r="C212" s="5" t="s">
        <v>68</v>
      </c>
      <c r="D212" s="10">
        <v>132</v>
      </c>
      <c r="E212" s="10">
        <v>130</v>
      </c>
      <c r="F212" s="10">
        <v>110</v>
      </c>
      <c r="G212" s="11">
        <f t="shared" si="10"/>
        <v>145.20000000000002</v>
      </c>
      <c r="H212" s="11">
        <f t="shared" si="12"/>
        <v>151.79999999999998</v>
      </c>
      <c r="I212" s="11">
        <f t="shared" si="11"/>
        <v>151.79999999999998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2">
      <c r="A213" s="10">
        <v>617</v>
      </c>
      <c r="B213" s="5" t="s">
        <v>357</v>
      </c>
      <c r="C213" s="5" t="s">
        <v>358</v>
      </c>
      <c r="D213" s="10">
        <v>936</v>
      </c>
      <c r="E213" s="10">
        <v>940</v>
      </c>
      <c r="F213" s="10">
        <v>780</v>
      </c>
      <c r="G213" s="11">
        <f t="shared" si="10"/>
        <v>1029.6000000000001</v>
      </c>
      <c r="H213" s="11">
        <f t="shared" si="12"/>
        <v>1076.3999999999999</v>
      </c>
      <c r="I213" s="11">
        <f t="shared" si="11"/>
        <v>1076.3999999999999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2">
      <c r="A214" s="10">
        <v>618</v>
      </c>
      <c r="B214" s="5" t="s">
        <v>69</v>
      </c>
      <c r="C214" s="5" t="s">
        <v>70</v>
      </c>
      <c r="D214" s="10">
        <v>4908</v>
      </c>
      <c r="E214" s="10">
        <v>4910</v>
      </c>
      <c r="F214" s="10">
        <v>4090</v>
      </c>
      <c r="G214" s="11">
        <f t="shared" si="10"/>
        <v>5398.8</v>
      </c>
      <c r="H214" s="11">
        <f t="shared" si="12"/>
        <v>5644.2</v>
      </c>
      <c r="I214" s="11">
        <f t="shared" si="11"/>
        <v>5644.2</v>
      </c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2">
      <c r="A215" s="10">
        <v>619</v>
      </c>
      <c r="B215" s="5" t="s">
        <v>71</v>
      </c>
      <c r="C215" s="5" t="s">
        <v>72</v>
      </c>
      <c r="D215" s="10">
        <v>2544</v>
      </c>
      <c r="E215" s="10">
        <v>2550</v>
      </c>
      <c r="F215" s="10">
        <v>2120</v>
      </c>
      <c r="G215" s="11">
        <f t="shared" si="10"/>
        <v>2798.4</v>
      </c>
      <c r="H215" s="11">
        <f t="shared" si="12"/>
        <v>2925.6</v>
      </c>
      <c r="I215" s="11">
        <f t="shared" si="11"/>
        <v>2925.6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2">
      <c r="A216" s="10">
        <v>620</v>
      </c>
      <c r="B216" s="5" t="s">
        <v>359</v>
      </c>
      <c r="C216" s="5" t="s">
        <v>360</v>
      </c>
      <c r="D216" s="10">
        <v>2964</v>
      </c>
      <c r="E216" s="10">
        <v>2970</v>
      </c>
      <c r="F216" s="10">
        <v>2470</v>
      </c>
      <c r="G216" s="11">
        <f t="shared" si="10"/>
        <v>3260.4</v>
      </c>
      <c r="H216" s="11">
        <f t="shared" si="12"/>
        <v>3408.6</v>
      </c>
      <c r="I216" s="11">
        <f t="shared" si="11"/>
        <v>3408.6</v>
      </c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2">
      <c r="A217" s="10">
        <v>621</v>
      </c>
      <c r="B217" s="5" t="s">
        <v>361</v>
      </c>
      <c r="C217" s="5" t="s">
        <v>362</v>
      </c>
      <c r="D217" s="10">
        <v>3516</v>
      </c>
      <c r="E217" s="10">
        <v>3520</v>
      </c>
      <c r="F217" s="10">
        <v>2930</v>
      </c>
      <c r="G217" s="11">
        <f t="shared" si="10"/>
        <v>3867.6000000000004</v>
      </c>
      <c r="H217" s="11">
        <f t="shared" si="12"/>
        <v>4043.3999999999996</v>
      </c>
      <c r="I217" s="11">
        <f t="shared" si="11"/>
        <v>4043.3999999999996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2">
      <c r="A218" s="10">
        <v>622</v>
      </c>
      <c r="B218" s="5" t="s">
        <v>75</v>
      </c>
      <c r="C218" s="5" t="s">
        <v>76</v>
      </c>
      <c r="D218" s="10">
        <v>480</v>
      </c>
      <c r="E218" s="10">
        <v>480</v>
      </c>
      <c r="F218" s="10">
        <v>400</v>
      </c>
      <c r="G218" s="11">
        <f t="shared" si="10"/>
        <v>528</v>
      </c>
      <c r="H218" s="11">
        <f t="shared" si="12"/>
        <v>552</v>
      </c>
      <c r="I218" s="11">
        <f t="shared" si="11"/>
        <v>552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2">
      <c r="A219" s="10">
        <v>623</v>
      </c>
      <c r="B219" s="5" t="s">
        <v>103</v>
      </c>
      <c r="C219" s="5" t="s">
        <v>104</v>
      </c>
      <c r="D219" s="10">
        <v>600</v>
      </c>
      <c r="E219" s="10">
        <v>600</v>
      </c>
      <c r="F219" s="10">
        <v>500</v>
      </c>
      <c r="G219" s="11">
        <f t="shared" si="10"/>
        <v>660</v>
      </c>
      <c r="H219" s="11">
        <f t="shared" si="12"/>
        <v>690</v>
      </c>
      <c r="I219" s="11">
        <f t="shared" si="11"/>
        <v>690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2">
      <c r="A220" s="10">
        <v>624</v>
      </c>
      <c r="B220" s="5" t="s">
        <v>99</v>
      </c>
      <c r="C220" s="5" t="s">
        <v>100</v>
      </c>
      <c r="D220" s="10">
        <v>600</v>
      </c>
      <c r="E220" s="10">
        <v>600</v>
      </c>
      <c r="F220" s="10">
        <v>500</v>
      </c>
      <c r="G220" s="11">
        <f t="shared" si="10"/>
        <v>660</v>
      </c>
      <c r="H220" s="11">
        <f t="shared" si="12"/>
        <v>690</v>
      </c>
      <c r="I220" s="11">
        <f t="shared" si="11"/>
        <v>690</v>
      </c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2">
      <c r="A221" s="10">
        <v>625</v>
      </c>
      <c r="B221" s="5" t="s">
        <v>363</v>
      </c>
      <c r="C221" s="5" t="s">
        <v>364</v>
      </c>
      <c r="D221" s="10">
        <v>2856</v>
      </c>
      <c r="E221" s="10">
        <v>2860</v>
      </c>
      <c r="F221" s="10">
        <v>2380</v>
      </c>
      <c r="G221" s="11">
        <f t="shared" si="10"/>
        <v>3141.6000000000004</v>
      </c>
      <c r="H221" s="11">
        <f t="shared" si="12"/>
        <v>3284.3999999999996</v>
      </c>
      <c r="I221" s="11">
        <f t="shared" si="11"/>
        <v>3284.3999999999996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2">
      <c r="A222" s="10">
        <v>626</v>
      </c>
      <c r="B222" s="5" t="s">
        <v>365</v>
      </c>
      <c r="C222" s="5" t="s">
        <v>366</v>
      </c>
      <c r="D222" s="10">
        <v>1092</v>
      </c>
      <c r="E222" s="10">
        <v>1090</v>
      </c>
      <c r="F222" s="10">
        <v>910</v>
      </c>
      <c r="G222" s="11">
        <f t="shared" si="10"/>
        <v>1201.2</v>
      </c>
      <c r="H222" s="11">
        <f t="shared" si="12"/>
        <v>1255.8</v>
      </c>
      <c r="I222" s="11">
        <f t="shared" si="11"/>
        <v>1255.8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2">
      <c r="A223" s="10">
        <v>627</v>
      </c>
      <c r="B223" s="5" t="s">
        <v>117</v>
      </c>
      <c r="C223" s="5" t="s">
        <v>118</v>
      </c>
      <c r="D223" s="10">
        <v>500</v>
      </c>
      <c r="E223" s="10">
        <v>500</v>
      </c>
      <c r="F223" s="10">
        <v>290</v>
      </c>
      <c r="G223" s="11">
        <f t="shared" si="10"/>
        <v>550</v>
      </c>
      <c r="H223" s="11">
        <f t="shared" si="12"/>
        <v>575</v>
      </c>
      <c r="I223" s="11">
        <f t="shared" si="11"/>
        <v>575</v>
      </c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2">
      <c r="A224" s="10">
        <v>628</v>
      </c>
      <c r="B224" s="5" t="s">
        <v>119</v>
      </c>
      <c r="C224" s="5" t="s">
        <v>120</v>
      </c>
      <c r="D224" s="10">
        <v>500</v>
      </c>
      <c r="E224" s="10">
        <v>500</v>
      </c>
      <c r="F224" s="10">
        <v>270</v>
      </c>
      <c r="G224" s="11">
        <f t="shared" si="10"/>
        <v>550</v>
      </c>
      <c r="H224" s="11">
        <f t="shared" si="12"/>
        <v>575</v>
      </c>
      <c r="I224" s="11">
        <f t="shared" si="11"/>
        <v>575</v>
      </c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hidden="1" customHeight="1" x14ac:dyDescent="0.2">
      <c r="A225" s="5"/>
      <c r="B225" s="5"/>
      <c r="C225" s="5"/>
      <c r="D225" s="12">
        <v>1.2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2">
      <c r="A231" s="19"/>
      <c r="B231" s="17"/>
      <c r="C231" s="17"/>
      <c r="D231" s="17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2">
      <c r="A253" s="5"/>
      <c r="B253" s="5"/>
      <c r="C253" s="5"/>
      <c r="D253" s="5"/>
      <c r="E253" s="5"/>
      <c r="F253" s="7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2"/>
    <row r="286" spans="1:25" ht="15.75" customHeight="1" x14ac:dyDescent="0.2"/>
    <row r="287" spans="1:25" ht="15.75" customHeight="1" x14ac:dyDescent="0.2"/>
    <row r="288" spans="1:25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5">
    <mergeCell ref="A193:D193"/>
    <mergeCell ref="A195:D195"/>
    <mergeCell ref="A231:D231"/>
    <mergeCell ref="A9:D9"/>
    <mergeCell ref="F10:G10"/>
    <mergeCell ref="A11:D11"/>
    <mergeCell ref="A43:D43"/>
    <mergeCell ref="A79:D79"/>
    <mergeCell ref="A133:D133"/>
    <mergeCell ref="B6:C6"/>
    <mergeCell ref="B1:C1"/>
    <mergeCell ref="B2:C2"/>
    <mergeCell ref="B3:C3"/>
    <mergeCell ref="B4:C4"/>
    <mergeCell ref="B5:C5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2.0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User</cp:lastModifiedBy>
  <dcterms:created xsi:type="dcterms:W3CDTF">2025-06-02T21:41:01Z</dcterms:created>
  <dcterms:modified xsi:type="dcterms:W3CDTF">2026-08-09T07:19:47Z</dcterms:modified>
</cp:coreProperties>
</file>